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isikoanalyse" sheetId="1" r:id="rId4"/>
  </sheets>
</workbook>
</file>

<file path=xl/sharedStrings.xml><?xml version="1.0" encoding="utf-8"?>
<sst xmlns="http://schemas.openxmlformats.org/spreadsheetml/2006/main" uniqueCount="67">
  <si>
    <t>Risikoanalyse qualitativ V1.4</t>
  </si>
  <si>
    <t>Projekt:</t>
  </si>
  <si>
    <t>Winterfahrt</t>
  </si>
  <si>
    <t>Hilfstabelle (nicht löschen!)</t>
  </si>
  <si>
    <t>Nr.</t>
  </si>
  <si>
    <t>Risiko</t>
  </si>
  <si>
    <t>Beschreibung</t>
  </si>
  <si>
    <t>EW</t>
  </si>
  <si>
    <t>SH</t>
  </si>
  <si>
    <t>Feld</t>
  </si>
  <si>
    <t>Ursache</t>
  </si>
  <si>
    <t>Auswirkung</t>
  </si>
  <si>
    <t>1-4*</t>
  </si>
  <si>
    <t>Risikoportfolio</t>
  </si>
  <si>
    <t>Erfrierungen an den Händen</t>
  </si>
  <si>
    <t>Kälte; Wind kommt an die Handschuhe; schnelle Fahrt</t>
  </si>
  <si>
    <t>Erfrierungen; Krüppel; Reiseabbruch; arbeitslos</t>
  </si>
  <si>
    <r>
      <rPr>
        <sz val="10"/>
        <color indexed="8"/>
        <rFont val="Verdana"/>
      </rPr>
      <t xml:space="preserve">       </t>
    </r>
  </si>
  <si>
    <t>34</t>
  </si>
  <si>
    <t xml:space="preserve">       </t>
  </si>
  <si>
    <t>Sturz</t>
  </si>
  <si>
    <t>Glatteis</t>
  </si>
  <si>
    <t>Tod; Maschine defekt</t>
  </si>
  <si>
    <r>
      <rPr>
        <sz val="10"/>
        <color indexed="8"/>
        <rFont val="Verdana"/>
      </rPr>
      <t xml:space="preserve">1 2      </t>
    </r>
  </si>
  <si>
    <t>Reifenpanne</t>
  </si>
  <si>
    <t>Nagel</t>
  </si>
  <si>
    <t>Verzögerung; Fähre verpasst; Reiseabbruch</t>
  </si>
  <si>
    <r>
      <rPr>
        <sz val="10"/>
        <color indexed="8"/>
        <rFont val="Verdana"/>
      </rPr>
      <t xml:space="preserve">   4    </t>
    </r>
  </si>
  <si>
    <t>13</t>
  </si>
  <si>
    <t xml:space="preserve">   4    </t>
  </si>
  <si>
    <t>Schlechtes Wetter</t>
  </si>
  <si>
    <t>Wetter</t>
  </si>
  <si>
    <t>Schlechte Laune</t>
  </si>
  <si>
    <r>
      <rPr>
        <sz val="10"/>
        <color indexed="8"/>
        <rFont val="Verdana"/>
      </rPr>
      <t xml:space="preserve">  3     </t>
    </r>
  </si>
  <si>
    <t>21</t>
  </si>
  <si>
    <t>Schaden</t>
  </si>
  <si>
    <t>senkrechte Achse: EW</t>
  </si>
  <si>
    <t>Maßnahmen</t>
  </si>
  <si>
    <t>Wirkung der Maßnahme</t>
  </si>
  <si>
    <t>Kosten</t>
  </si>
  <si>
    <t>Lenkerstulpen</t>
  </si>
  <si>
    <t>Wind abhalten</t>
  </si>
  <si>
    <t>Euro</t>
  </si>
  <si>
    <t>2a</t>
  </si>
  <si>
    <t>Spikesreifen</t>
  </si>
  <si>
    <t>verringerte Sturzgefahr</t>
  </si>
  <si>
    <t xml:space="preserve">  3     </t>
  </si>
  <si>
    <t>2b</t>
  </si>
  <si>
    <t>Training</t>
  </si>
  <si>
    <t>2c</t>
  </si>
  <si>
    <t>Schutzkleidung; Orthesen</t>
  </si>
  <si>
    <t>Verletzung geringer</t>
  </si>
  <si>
    <t>Flickzeug; früher losfahren</t>
  </si>
  <si>
    <t>schnell reparieren können; Zeit für Reparatur</t>
  </si>
  <si>
    <t>akzeptieren</t>
  </si>
  <si>
    <t>*) 1=sehr gering, 2=gering, 3=hoch, 4=sehr hoch     SH=Schadenshöhe    EW=Eintrittswahrscheinlichkeit</t>
  </si>
  <si>
    <t xml:space="preserve">1 2      </t>
  </si>
  <si>
    <t>Vorgehen:</t>
  </si>
  <si>
    <t>Risiken ermitteln</t>
  </si>
  <si>
    <t>Risiken analysieren u. bewerten (Ursachen/Auswirkungen)</t>
  </si>
  <si>
    <t>EW und SH qualitativ einschätzen (1-4)</t>
  </si>
  <si>
    <t>Portfolio erstellen</t>
  </si>
  <si>
    <t>Maßnahmen entwickeln, entscheiden (präventiv/korrektiv)</t>
  </si>
  <si>
    <t>Wirkung der Maßnahmen beschreiben</t>
  </si>
  <si>
    <t>Hinweis:</t>
  </si>
  <si>
    <t>Die Tabelle und das sich automatisch ausfüllende Portfolio sind auf 8 Risken begrenzt.</t>
  </si>
  <si>
    <t>Weitere Risiken können nur durch ändern der Formeln hinzu gefügt werden.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</si>
</sst>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Verdana"/>
    </font>
    <font>
      <sz val="13"/>
      <color indexed="8"/>
      <name val="Verdana"/>
    </font>
    <font>
      <b val="1"/>
      <sz val="12"/>
      <color indexed="8"/>
      <name val="Verdana"/>
    </font>
    <font>
      <sz val="10"/>
      <color indexed="10"/>
      <name val="Verdana"/>
    </font>
    <font>
      <b val="1"/>
      <sz val="10"/>
      <color indexed="13"/>
      <name val="Verdana"/>
    </font>
    <font>
      <b val="1"/>
      <sz val="10"/>
      <color indexed="8"/>
      <name val="Verdana"/>
    </font>
    <font>
      <sz val="10"/>
      <color indexed="14"/>
      <name val="Verdana"/>
    </font>
    <font>
      <sz val="8"/>
      <color indexed="10"/>
      <name val="Verdana"/>
    </font>
    <font>
      <sz val="9"/>
      <color indexed="8"/>
      <name val="Verdana"/>
    </font>
    <font>
      <sz val="8"/>
      <color indexed="8"/>
      <name val="Verdana"/>
    </font>
    <font>
      <sz val="10"/>
      <color indexed="13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63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2" borderId="9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3" fillId="2" borderId="13" applyNumberFormat="1" applyFont="1" applyFill="1" applyBorder="1" applyAlignment="1" applyProtection="0">
      <alignment vertical="center"/>
    </xf>
    <xf numFmtId="0" fontId="0" fillId="3" borderId="14" applyNumberFormat="0" applyFont="1" applyFill="1" applyBorder="1" applyAlignment="1" applyProtection="0">
      <alignment vertical="center"/>
    </xf>
    <xf numFmtId="0" fontId="0" fillId="3" borderId="15" applyNumberFormat="0" applyFont="1" applyFill="1" applyBorder="1" applyAlignment="1" applyProtection="0">
      <alignment vertical="center"/>
    </xf>
    <xf numFmtId="0" fontId="0" borderId="16" applyNumberFormat="0" applyFont="1" applyFill="0" applyBorder="1" applyAlignment="1" applyProtection="0">
      <alignment vertical="bottom"/>
    </xf>
    <xf numFmtId="49" fontId="4" borderId="7" applyNumberFormat="1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49" fontId="5" borderId="9" applyNumberFormat="1" applyFont="1" applyFill="0" applyBorder="1" applyAlignment="1" applyProtection="0">
      <alignment vertical="bottom"/>
    </xf>
    <xf numFmtId="49" fontId="5" borderId="9" applyNumberFormat="1" applyFont="1" applyFill="0" applyBorder="1" applyAlignment="1" applyProtection="0">
      <alignment horizontal="center" vertical="bottom"/>
    </xf>
    <xf numFmtId="0" fontId="5" borderId="9" applyNumberFormat="0" applyFont="1" applyFill="0" applyBorder="1" applyAlignment="1" applyProtection="0">
      <alignment horizontal="center" vertical="bottom"/>
    </xf>
    <xf numFmtId="0" fontId="5" borderId="17" applyNumberFormat="0" applyFont="1" applyFill="0" applyBorder="1" applyAlignment="1" applyProtection="0">
      <alignment vertical="bottom"/>
    </xf>
    <xf numFmtId="0" fontId="5" borderId="20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49" fontId="6" fillId="2" borderId="22" applyNumberFormat="1" applyFont="1" applyFill="1" applyBorder="1" applyAlignment="1" applyProtection="0">
      <alignment vertical="bottom"/>
    </xf>
    <xf numFmtId="0" fontId="6" fillId="2" borderId="22" applyNumberFormat="0" applyFont="1" applyFill="1" applyBorder="1" applyAlignment="1" applyProtection="0">
      <alignment vertical="bottom"/>
    </xf>
    <xf numFmtId="0" fontId="6" fillId="2" borderId="23" applyNumberFormat="0" applyFont="1" applyFill="1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49" fontId="5" borderId="11" applyNumberFormat="1" applyFont="1" applyFill="0" applyBorder="1" applyAlignment="1" applyProtection="0">
      <alignment horizontal="center" vertical="bottom"/>
    </xf>
    <xf numFmtId="0" fontId="5" borderId="4" applyNumberFormat="0" applyFont="1" applyFill="0" applyBorder="1" applyAlignment="1" applyProtection="0">
      <alignment horizontal="center" vertical="bottom"/>
    </xf>
    <xf numFmtId="0" fontId="5" borderId="15" applyNumberFormat="0" applyFont="1" applyFill="0" applyBorder="1" applyAlignment="1" applyProtection="0">
      <alignment horizontal="center" vertical="bottom"/>
    </xf>
    <xf numFmtId="0" fontId="6" fillId="2" borderId="22" applyNumberFormat="1" applyFont="1" applyFill="1" applyBorder="1" applyAlignment="1" applyProtection="0">
      <alignment vertical="bottom"/>
    </xf>
    <xf numFmtId="0" fontId="6" fillId="2" borderId="23" applyNumberFormat="1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6" fillId="2" borderId="25" applyNumberFormat="0" applyFont="1" applyFill="1" applyBorder="1" applyAlignment="1" applyProtection="0">
      <alignment vertical="bottom"/>
    </xf>
    <xf numFmtId="0" fontId="6" fillId="2" borderId="26" applyNumberFormat="0" applyFont="1" applyFill="1" applyBorder="1" applyAlignment="1" applyProtection="0">
      <alignment vertical="bottom"/>
    </xf>
    <xf numFmtId="0" fontId="3" borderId="9" applyNumberFormat="1" applyFont="1" applyFill="0" applyBorder="1" applyAlignment="1" applyProtection="0">
      <alignment horizontal="left" vertical="bottom"/>
    </xf>
    <xf numFmtId="49" fontId="3" fillId="3" borderId="9" applyNumberFormat="1" applyFont="1" applyFill="1" applyBorder="1" applyAlignment="1" applyProtection="0">
      <alignment horizontal="left" vertical="top" wrapText="1"/>
    </xf>
    <xf numFmtId="49" fontId="7" fillId="3" borderId="9" applyNumberFormat="1" applyFont="1" applyFill="1" applyBorder="1" applyAlignment="1" applyProtection="0">
      <alignment horizontal="left" vertical="top" wrapText="1"/>
    </xf>
    <xf numFmtId="0" fontId="0" fillId="3" borderId="27" applyNumberFormat="1" applyFont="1" applyFill="1" applyBorder="1" applyAlignment="1" applyProtection="0">
      <alignment horizontal="right" vertical="center"/>
    </xf>
    <xf numFmtId="49" fontId="0" fillId="4" borderId="28" applyNumberFormat="1" applyFont="1" applyFill="1" applyBorder="1" applyAlignment="1" applyProtection="0">
      <alignment horizontal="center" vertical="center" wrapText="1"/>
    </xf>
    <xf numFmtId="49" fontId="0" fillId="4" borderId="29" applyNumberFormat="1" applyFont="1" applyFill="1" applyBorder="1" applyAlignment="1" applyProtection="0">
      <alignment horizontal="center" vertical="center"/>
    </xf>
    <xf numFmtId="49" fontId="0" fillId="5" borderId="29" applyNumberFormat="1" applyFont="1" applyFill="1" applyBorder="1" applyAlignment="1" applyProtection="0">
      <alignment horizontal="center" vertical="center"/>
    </xf>
    <xf numFmtId="49" fontId="0" fillId="5" borderId="30" applyNumberFormat="1" applyFont="1" applyFill="1" applyBorder="1" applyAlignment="1" applyProtection="0">
      <alignment horizontal="center" vertical="center"/>
    </xf>
    <xf numFmtId="0" fontId="0" borderId="31" applyNumberFormat="0" applyFont="1" applyFill="0" applyBorder="1" applyAlignment="1" applyProtection="0">
      <alignment vertical="bottom"/>
    </xf>
    <xf numFmtId="49" fontId="0" fillId="2" borderId="32" applyNumberFormat="1" applyFont="1" applyFill="1" applyBorder="1" applyAlignment="1" applyProtection="0">
      <alignment vertical="top"/>
    </xf>
    <xf numFmtId="49" fontId="6" fillId="2" borderId="33" applyNumberFormat="1" applyFont="1" applyFill="1" applyBorder="1" applyAlignment="1" applyProtection="0">
      <alignment horizontal="left" vertical="top"/>
    </xf>
    <xf numFmtId="49" fontId="6" fillId="2" borderId="34" applyNumberFormat="1" applyFont="1" applyFill="1" applyBorder="1" applyAlignment="1" applyProtection="0">
      <alignment horizontal="left" vertical="top"/>
    </xf>
    <xf numFmtId="49" fontId="6" fillId="2" borderId="35" applyNumberFormat="1" applyFont="1" applyFill="1" applyBorder="1" applyAlignment="1" applyProtection="0">
      <alignment horizontal="left" vertical="top"/>
    </xf>
    <xf numFmtId="0" fontId="0" fillId="3" borderId="36" applyNumberFormat="1" applyFont="1" applyFill="1" applyBorder="1" applyAlignment="1" applyProtection="0">
      <alignment horizontal="right" vertical="center"/>
    </xf>
    <xf numFmtId="49" fontId="0" fillId="4" borderId="37" applyNumberFormat="1" applyFont="1" applyFill="1" applyBorder="1" applyAlignment="1" applyProtection="0">
      <alignment horizontal="center" vertical="center"/>
    </xf>
    <xf numFmtId="49" fontId="0" fillId="4" borderId="9" applyNumberFormat="1" applyFont="1" applyFill="1" applyBorder="1" applyAlignment="1" applyProtection="0">
      <alignment horizontal="center" vertical="center"/>
    </xf>
    <xf numFmtId="49" fontId="0" fillId="5" borderId="38" applyNumberFormat="1" applyFont="1" applyFill="1" applyBorder="1" applyAlignment="1" applyProtection="0">
      <alignment horizontal="center" vertical="center"/>
    </xf>
    <xf numFmtId="49" fontId="6" fillId="2" borderId="39" applyNumberFormat="1" applyFont="1" applyFill="1" applyBorder="1" applyAlignment="1" applyProtection="0">
      <alignment horizontal="left" vertical="top"/>
    </xf>
    <xf numFmtId="49" fontId="6" fillId="2" borderId="22" applyNumberFormat="1" applyFont="1" applyFill="1" applyBorder="1" applyAlignment="1" applyProtection="0">
      <alignment horizontal="left" vertical="top"/>
    </xf>
    <xf numFmtId="49" fontId="6" fillId="2" borderId="32" applyNumberFormat="1" applyFont="1" applyFill="1" applyBorder="1" applyAlignment="1" applyProtection="0">
      <alignment horizontal="left" vertical="top"/>
    </xf>
    <xf numFmtId="49" fontId="0" fillId="6" borderId="37" applyNumberFormat="1" applyFont="1" applyFill="1" applyBorder="1" applyAlignment="1" applyProtection="0">
      <alignment horizontal="center" vertical="center"/>
    </xf>
    <xf numFmtId="0" fontId="6" fillId="2" borderId="22" applyNumberFormat="1" applyFont="1" applyFill="1" applyBorder="1" applyAlignment="1" applyProtection="0">
      <alignment horizontal="left" vertical="top"/>
    </xf>
    <xf numFmtId="49" fontId="0" fillId="6" borderId="40" applyNumberFormat="1" applyFont="1" applyFill="1" applyBorder="1" applyAlignment="1" applyProtection="0">
      <alignment horizontal="center" vertical="center"/>
    </xf>
    <xf numFmtId="49" fontId="0" fillId="6" borderId="41" applyNumberFormat="1" applyFont="1" applyFill="1" applyBorder="1" applyAlignment="1" applyProtection="0">
      <alignment horizontal="center" vertical="center"/>
    </xf>
    <xf numFmtId="49" fontId="0" fillId="4" borderId="41" applyNumberFormat="1" applyFont="1" applyFill="1" applyBorder="1" applyAlignment="1" applyProtection="0">
      <alignment horizontal="center" vertical="center"/>
    </xf>
    <xf numFmtId="49" fontId="0" fillId="4" borderId="42" applyNumberFormat="1" applyFont="1" applyFill="1" applyBorder="1" applyAlignment="1" applyProtection="0">
      <alignment horizontal="center" vertical="center"/>
    </xf>
    <xf numFmtId="49" fontId="6" fillId="2" borderId="43" applyNumberFormat="1" applyFont="1" applyFill="1" applyBorder="1" applyAlignment="1" applyProtection="0">
      <alignment horizontal="left" vertical="top"/>
    </xf>
    <xf numFmtId="49" fontId="6" fillId="2" borderId="25" applyNumberFormat="1" applyFont="1" applyFill="1" applyBorder="1" applyAlignment="1" applyProtection="0">
      <alignment horizontal="left" vertical="top"/>
    </xf>
    <xf numFmtId="49" fontId="6" fillId="2" borderId="44" applyNumberFormat="1" applyFont="1" applyFill="1" applyBorder="1" applyAlignment="1" applyProtection="0">
      <alignment horizontal="left" vertical="top"/>
    </xf>
    <xf numFmtId="0" fontId="3" fillId="3" borderId="9" applyNumberFormat="0" applyFont="1" applyFill="1" applyBorder="1" applyAlignment="1" applyProtection="0">
      <alignment horizontal="left" vertical="top" wrapText="1"/>
    </xf>
    <xf numFmtId="0" fontId="7" borderId="9" applyNumberFormat="0" applyFont="1" applyFill="0" applyBorder="1" applyAlignment="1" applyProtection="0">
      <alignment horizontal="left" vertical="bottom"/>
    </xf>
    <xf numFmtId="0" fontId="7" fillId="3" borderId="9" applyNumberFormat="0" applyFont="1" applyFill="1" applyBorder="1" applyAlignment="1" applyProtection="0">
      <alignment horizontal="left" vertical="top" wrapText="1"/>
    </xf>
    <xf numFmtId="0" fontId="3" borderId="9" applyNumberFormat="0" applyFont="1" applyFill="0" applyBorder="1" applyAlignment="1" applyProtection="0">
      <alignment horizontal="left" vertical="bottom"/>
    </xf>
    <xf numFmtId="0" fontId="0" borderId="40" applyNumberFormat="0" applyFont="1" applyFill="0" applyBorder="1" applyAlignment="1" applyProtection="0">
      <alignment vertical="bottom"/>
    </xf>
    <xf numFmtId="0" fontId="0" borderId="45" applyNumberFormat="1" applyFont="1" applyFill="0" applyBorder="1" applyAlignment="1" applyProtection="0">
      <alignment horizontal="center" vertical="bottom"/>
    </xf>
    <xf numFmtId="0" fontId="0" borderId="46" applyNumberFormat="1" applyFont="1" applyFill="0" applyBorder="1" applyAlignment="1" applyProtection="0">
      <alignment horizontal="center" vertical="bottom"/>
    </xf>
    <xf numFmtId="0" fontId="0" fillId="3" borderId="8" applyNumberFormat="0" applyFont="1" applyFill="1" applyBorder="1" applyAlignment="1" applyProtection="0">
      <alignment horizontal="left" vertical="top"/>
    </xf>
    <xf numFmtId="0" fontId="3" fillId="3" borderId="9" applyNumberFormat="1" applyFont="1" applyFill="1" applyBorder="1" applyAlignment="1" applyProtection="0">
      <alignment horizontal="left" vertical="top"/>
    </xf>
    <xf numFmtId="0" fontId="3" fillId="3" borderId="9" applyNumberFormat="0" applyFont="1" applyFill="1" applyBorder="1" applyAlignment="1" applyProtection="0">
      <alignment horizontal="left" vertical="top"/>
    </xf>
    <xf numFmtId="49" fontId="8" fillId="3" borderId="3" applyNumberFormat="1" applyFont="1" applyFill="1" applyBorder="1" applyAlignment="1" applyProtection="0">
      <alignment horizontal="center" vertical="top"/>
    </xf>
    <xf numFmtId="0" fontId="0" fillId="3" borderId="3" applyNumberFormat="0" applyFont="1" applyFill="1" applyBorder="1" applyAlignment="1" applyProtection="0">
      <alignment horizontal="center" vertical="top"/>
    </xf>
    <xf numFmtId="49" fontId="0" fillId="2" borderId="32" applyNumberFormat="1" applyFont="1" applyFill="1" applyBorder="1" applyAlignment="1" applyProtection="0">
      <alignment horizontal="left" vertical="top"/>
    </xf>
    <xf numFmtId="0" fontId="7" fillId="3" borderId="9" applyNumberFormat="0" applyFont="1" applyFill="1" applyBorder="1" applyAlignment="1" applyProtection="0">
      <alignment horizontal="left" vertical="top"/>
    </xf>
    <xf numFmtId="49" fontId="8" fillId="3" borderId="7" applyNumberFormat="1" applyFont="1" applyFill="1" applyBorder="1" applyAlignment="1" applyProtection="0">
      <alignment horizontal="center" vertical="top" wrapText="1"/>
    </xf>
    <xf numFmtId="0" fontId="9" fillId="3" borderId="9" applyNumberFormat="0" applyFont="1" applyFill="1" applyBorder="1" applyAlignment="1" applyProtection="0">
      <alignment horizontal="left" vertical="top"/>
    </xf>
    <xf numFmtId="0" fontId="9" fillId="3" borderId="9" applyNumberFormat="0" applyFont="1" applyFill="1" applyBorder="1" applyAlignment="1" applyProtection="0">
      <alignment horizontal="left" vertical="top" wrapText="1"/>
    </xf>
    <xf numFmtId="0" fontId="0" fillId="3" borderId="9" applyNumberFormat="0" applyFont="1" applyFill="1" applyBorder="1" applyAlignment="1" applyProtection="0">
      <alignment horizontal="left" vertical="top"/>
    </xf>
    <xf numFmtId="0" fontId="0" borderId="47" applyNumberFormat="0" applyFont="1" applyFill="0" applyBorder="1" applyAlignment="1" applyProtection="0">
      <alignment vertical="bottom"/>
    </xf>
    <xf numFmtId="0" fontId="0" borderId="48" applyNumberFormat="0" applyFont="1" applyFill="0" applyBorder="1" applyAlignment="1" applyProtection="0">
      <alignment vertical="bottom"/>
    </xf>
    <xf numFmtId="0" fontId="0" borderId="49" applyNumberFormat="0" applyFont="1" applyFill="0" applyBorder="1" applyAlignment="1" applyProtection="0">
      <alignment vertical="bottom"/>
    </xf>
    <xf numFmtId="0" fontId="0" borderId="50" applyNumberFormat="0" applyFont="1" applyFill="0" applyBorder="1" applyAlignment="1" applyProtection="0">
      <alignment vertical="bottom"/>
    </xf>
    <xf numFmtId="49" fontId="7" borderId="9" applyNumberFormat="1" applyFont="1" applyFill="0" applyBorder="1" applyAlignment="1" applyProtection="0">
      <alignment vertical="bottom"/>
    </xf>
    <xf numFmtId="0" fontId="7" borderId="9" applyNumberFormat="0" applyFont="1" applyFill="0" applyBorder="1" applyAlignment="1" applyProtection="0">
      <alignment vertical="bottom"/>
    </xf>
    <xf numFmtId="0" fontId="7" borderId="9" applyNumberFormat="1" applyFont="1" applyFill="0" applyBorder="1" applyAlignment="1" applyProtection="0">
      <alignment vertical="bottom"/>
    </xf>
    <xf numFmtId="49" fontId="3" fillId="3" borderId="9" applyNumberFormat="1" applyFont="1" applyFill="1" applyBorder="1" applyAlignment="1" applyProtection="0">
      <alignment horizontal="left" vertical="top"/>
    </xf>
    <xf numFmtId="49" fontId="7" fillId="3" borderId="51" applyNumberFormat="1" applyFont="1" applyFill="1" applyBorder="1" applyAlignment="1" applyProtection="0">
      <alignment vertical="bottom" wrapText="1"/>
    </xf>
    <xf numFmtId="0" fontId="7" fillId="3" borderId="47" applyNumberFormat="0" applyFont="1" applyFill="1" applyBorder="1" applyAlignment="1" applyProtection="0">
      <alignment vertical="bottom" wrapText="1"/>
    </xf>
    <xf numFmtId="0" fontId="7" fillId="3" borderId="52" applyNumberFormat="0" applyFont="1" applyFill="1" applyBorder="1" applyAlignment="1" applyProtection="0">
      <alignment vertical="bottom" wrapText="1"/>
    </xf>
    <xf numFmtId="0" fontId="0" borderId="52" applyNumberFormat="0" applyFont="1" applyFill="0" applyBorder="1" applyAlignment="1" applyProtection="0">
      <alignment vertical="bottom"/>
    </xf>
    <xf numFmtId="0" fontId="6" fillId="2" borderId="25" applyNumberFormat="0" applyFont="1" applyFill="1" applyBorder="1" applyAlignment="1" applyProtection="0">
      <alignment horizontal="left" vertical="top"/>
    </xf>
    <xf numFmtId="0" fontId="6" fillId="2" borderId="44" applyNumberFormat="0" applyFont="1" applyFill="1" applyBorder="1" applyAlignment="1" applyProtection="0">
      <alignment horizontal="left" vertical="top"/>
    </xf>
    <xf numFmtId="2" fontId="7" borderId="9" applyNumberFormat="1" applyFont="1" applyFill="0" applyBorder="1" applyAlignment="1" applyProtection="0">
      <alignment vertical="bottom"/>
    </xf>
    <xf numFmtId="49" fontId="6" fillId="2" borderId="53" applyNumberFormat="1" applyFont="1" applyFill="1" applyBorder="1" applyAlignment="1" applyProtection="0">
      <alignment horizontal="left" vertical="top"/>
    </xf>
    <xf numFmtId="0" fontId="6" fillId="2" borderId="54" applyNumberFormat="0" applyFont="1" applyFill="1" applyBorder="1" applyAlignment="1" applyProtection="0">
      <alignment horizontal="left" vertical="top"/>
    </xf>
    <xf numFmtId="0" fontId="6" fillId="2" borderId="55" applyNumberFormat="0" applyFont="1" applyFill="1" applyBorder="1" applyAlignment="1" applyProtection="0">
      <alignment horizontal="left" vertical="top"/>
    </xf>
    <xf numFmtId="49" fontId="6" fillId="2" borderId="54" applyNumberFormat="1" applyFont="1" applyFill="1" applyBorder="1" applyAlignment="1" applyProtection="0">
      <alignment horizontal="left" vertical="top"/>
    </xf>
    <xf numFmtId="49" fontId="6" fillId="2" borderId="55" applyNumberFormat="1" applyFont="1" applyFill="1" applyBorder="1" applyAlignment="1" applyProtection="0">
      <alignment horizontal="left" vertical="top"/>
    </xf>
    <xf numFmtId="0" fontId="6" fillId="2" borderId="34" applyNumberFormat="0" applyFont="1" applyFill="1" applyBorder="1" applyAlignment="1" applyProtection="0">
      <alignment horizontal="left" vertical="top"/>
    </xf>
    <xf numFmtId="0" fontId="6" fillId="2" borderId="35" applyNumberFormat="0" applyFont="1" applyFill="1" applyBorder="1" applyAlignment="1" applyProtection="0">
      <alignment horizontal="left" vertical="top"/>
    </xf>
    <xf numFmtId="0" fontId="0" borderId="56" applyNumberFormat="0" applyFont="1" applyFill="0" applyBorder="1" applyAlignment="1" applyProtection="0">
      <alignment vertical="bottom"/>
    </xf>
    <xf numFmtId="49" fontId="9" borderId="56" applyNumberFormat="1" applyFont="1" applyFill="0" applyBorder="1" applyAlignment="1" applyProtection="0">
      <alignment vertical="bottom"/>
    </xf>
    <xf numFmtId="0" fontId="0" borderId="57" applyNumberFormat="0" applyFont="1" applyFill="0" applyBorder="1" applyAlignment="1" applyProtection="0">
      <alignment vertical="bottom"/>
    </xf>
    <xf numFmtId="0" fontId="0" borderId="58" applyNumberFormat="0" applyFont="1" applyFill="0" applyBorder="1" applyAlignment="1" applyProtection="0">
      <alignment vertical="bottom"/>
    </xf>
    <xf numFmtId="49" fontId="0" fillId="3" borderId="59" applyNumberFormat="1" applyFont="1" applyFill="1" applyBorder="1" applyAlignment="1" applyProtection="0">
      <alignment horizontal="left" vertical="top"/>
    </xf>
    <xf numFmtId="0" fontId="0" fillId="3" borderId="56" applyNumberFormat="0" applyFont="1" applyFill="1" applyBorder="1" applyAlignment="1" applyProtection="0">
      <alignment horizontal="center" vertical="top"/>
    </xf>
    <xf numFmtId="0" fontId="0" fillId="3" borderId="60" applyNumberFormat="0" applyFont="1" applyFill="1" applyBorder="1" applyAlignment="1" applyProtection="0">
      <alignment horizontal="center" vertical="top"/>
    </xf>
    <xf numFmtId="0" fontId="0" fillId="3" borderId="17" applyNumberFormat="0" applyFont="1" applyFill="1" applyBorder="1" applyAlignment="1" applyProtection="0">
      <alignment horizontal="left" vertical="top"/>
    </xf>
    <xf numFmtId="0" fontId="0" fillId="3" borderId="7" applyNumberFormat="0" applyFont="1" applyFill="1" applyBorder="1" applyAlignment="1" applyProtection="0">
      <alignment horizontal="center" vertical="top"/>
    </xf>
    <xf numFmtId="0" fontId="0" fillId="3" borderId="50" applyNumberFormat="0" applyFont="1" applyFill="1" applyBorder="1" applyAlignment="1" applyProtection="0">
      <alignment horizontal="center" vertical="top"/>
    </xf>
    <xf numFmtId="49" fontId="0" fillId="3" borderId="17" applyNumberFormat="1" applyFont="1" applyFill="1" applyBorder="1" applyAlignment="1" applyProtection="0">
      <alignment horizontal="left" vertical="top"/>
    </xf>
    <xf numFmtId="49" fontId="0" fillId="3" borderId="61" applyNumberFormat="1" applyFont="1" applyFill="1" applyBorder="1" applyAlignment="1" applyProtection="0">
      <alignment horizontal="left" vertical="top"/>
    </xf>
    <xf numFmtId="0" fontId="0" fillId="3" borderId="48" applyNumberFormat="0" applyFont="1" applyFill="1" applyBorder="1" applyAlignment="1" applyProtection="0">
      <alignment horizontal="center" vertical="top"/>
    </xf>
    <xf numFmtId="0" fontId="0" fillId="3" borderId="62" applyNumberFormat="0" applyFont="1" applyFill="1" applyBorder="1" applyAlignment="1" applyProtection="0">
      <alignment horizontal="center" vertical="top"/>
    </xf>
    <xf numFmtId="49" fontId="10" fillId="3" borderId="7" applyNumberFormat="1" applyFont="1" applyFill="1" applyBorder="1" applyAlignment="1" applyProtection="0">
      <alignment horizontal="left" vertical="top"/>
    </xf>
    <xf numFmtId="49" fontId="0" fillId="3" borderId="7" applyNumberFormat="1" applyFont="1" applyFill="1" applyBorder="1" applyAlignment="1" applyProtection="0">
      <alignment horizontal="left" vertical="top"/>
    </xf>
    <xf numFmtId="49" fontId="0" borderId="7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3366ff"/>
      <rgbColor rgb="ffc0c0c0"/>
      <rgbColor rgb="ffffffff"/>
      <rgbColor rgb="ffff0000"/>
      <rgbColor rgb="ff969696"/>
      <rgbColor rgb="ffccffff"/>
      <rgbColor rgb="ffff9900"/>
      <rgbColor rgb="ffccff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39"/>
  <sheetViews>
    <sheetView workbookViewId="0" showGridLines="0" defaultGridColor="1"/>
  </sheetViews>
  <sheetFormatPr defaultColWidth="10.8333" defaultRowHeight="13" customHeight="1" outlineLevelRow="0" outlineLevelCol="0"/>
  <cols>
    <col min="1" max="1" width="1.5" style="1" customWidth="1"/>
    <col min="2" max="2" width="3.5" style="1" customWidth="1"/>
    <col min="3" max="3" width="13.1719" style="1" customWidth="1"/>
    <col min="4" max="4" width="16.5" style="1" customWidth="1"/>
    <col min="5" max="5" width="15.8516" style="1" customWidth="1"/>
    <col min="6" max="7" width="7.17188" style="1" customWidth="1"/>
    <col min="8" max="8" width="1.5" style="1" customWidth="1"/>
    <col min="9" max="9" width="3.67188" style="1" customWidth="1"/>
    <col min="10" max="13" width="7.5" style="1" customWidth="1"/>
    <col min="14" max="14" width="1.5" style="1" customWidth="1"/>
    <col min="15" max="15" width="4.17188" style="1" customWidth="1"/>
    <col min="16" max="16" width="5.35156" style="1" customWidth="1"/>
    <col min="17" max="17" width="9.67188" style="1" customWidth="1"/>
    <col min="18" max="25" width="3.5" style="1" customWidth="1"/>
    <col min="26" max="16384" width="10.8516" style="1" customWidth="1"/>
  </cols>
  <sheetData>
    <row r="1" ht="14" customHeight="1">
      <c r="A1" s="2"/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6"/>
      <c r="O1" s="7"/>
      <c r="P1" s="8"/>
      <c r="Q1" s="8"/>
      <c r="R1" s="8"/>
      <c r="S1" s="8"/>
      <c r="T1" s="8"/>
      <c r="U1" s="8"/>
      <c r="V1" s="8"/>
      <c r="W1" s="8"/>
      <c r="X1" s="8"/>
      <c r="Y1" s="8"/>
    </row>
    <row r="2" ht="17" customHeight="1">
      <c r="A2" s="9"/>
      <c r="B2" t="s" s="10">
        <v>0</v>
      </c>
      <c r="C2" s="11"/>
      <c r="D2" s="11"/>
      <c r="E2" s="11"/>
      <c r="F2" s="11"/>
      <c r="G2" s="11"/>
      <c r="H2" s="12"/>
      <c r="I2" t="s" s="13">
        <v>1</v>
      </c>
      <c r="J2" s="14"/>
      <c r="K2" t="s" s="15">
        <v>2</v>
      </c>
      <c r="L2" s="16"/>
      <c r="M2" s="17"/>
      <c r="N2" s="18"/>
      <c r="O2" s="7"/>
      <c r="P2" s="8"/>
      <c r="Q2" t="s" s="19">
        <v>3</v>
      </c>
      <c r="R2" s="8"/>
      <c r="S2" s="8"/>
      <c r="T2" s="8"/>
      <c r="U2" s="8"/>
      <c r="V2" s="8"/>
      <c r="W2" s="8"/>
      <c r="X2" s="8"/>
      <c r="Y2" s="8"/>
    </row>
    <row r="3" ht="15.5" customHeight="1">
      <c r="A3" s="9"/>
      <c r="B3" s="11"/>
      <c r="C3" s="11"/>
      <c r="D3" s="11"/>
      <c r="E3" s="11"/>
      <c r="F3" s="11"/>
      <c r="G3" s="11"/>
      <c r="H3" s="20"/>
      <c r="I3" s="4"/>
      <c r="J3" s="4"/>
      <c r="K3" s="4"/>
      <c r="L3" s="4"/>
      <c r="M3" s="4"/>
      <c r="N3" s="21"/>
      <c r="O3" s="7"/>
      <c r="P3" s="8"/>
      <c r="Q3" s="22"/>
      <c r="R3" s="22"/>
      <c r="S3" s="22"/>
      <c r="T3" s="22"/>
      <c r="U3" s="22"/>
      <c r="V3" s="22"/>
      <c r="W3" s="22"/>
      <c r="X3" s="22"/>
      <c r="Y3" s="22"/>
    </row>
    <row r="4" ht="14" customHeight="1">
      <c r="A4" s="9"/>
      <c r="B4" t="s" s="23">
        <v>4</v>
      </c>
      <c r="C4" t="s" s="23">
        <v>5</v>
      </c>
      <c r="D4" t="s" s="24">
        <v>6</v>
      </c>
      <c r="E4" s="25"/>
      <c r="F4" t="s" s="23">
        <v>7</v>
      </c>
      <c r="G4" t="s" s="23">
        <v>8</v>
      </c>
      <c r="H4" s="26"/>
      <c r="I4" s="27"/>
      <c r="J4" s="28"/>
      <c r="K4" s="28"/>
      <c r="L4" s="28"/>
      <c r="M4" s="28"/>
      <c r="N4" s="21"/>
      <c r="O4" s="7"/>
      <c r="P4" s="29"/>
      <c r="Q4" t="s" s="30">
        <v>9</v>
      </c>
      <c r="R4" t="s" s="30">
        <v>5</v>
      </c>
      <c r="S4" s="31"/>
      <c r="T4" s="31"/>
      <c r="U4" s="31"/>
      <c r="V4" s="31"/>
      <c r="W4" s="31"/>
      <c r="X4" s="31"/>
      <c r="Y4" s="32"/>
    </row>
    <row r="5" ht="14" customHeight="1">
      <c r="A5" s="9"/>
      <c r="B5" s="11"/>
      <c r="C5" s="11"/>
      <c r="D5" t="s" s="33">
        <v>10</v>
      </c>
      <c r="E5" t="s" s="33">
        <v>11</v>
      </c>
      <c r="F5" t="s" s="33">
        <v>12</v>
      </c>
      <c r="G5" t="s" s="33">
        <v>12</v>
      </c>
      <c r="H5" s="12"/>
      <c r="I5" t="s" s="34">
        <v>13</v>
      </c>
      <c r="J5" s="35"/>
      <c r="K5" s="35"/>
      <c r="L5" s="35"/>
      <c r="M5" s="36"/>
      <c r="N5" s="18"/>
      <c r="O5" s="7"/>
      <c r="P5" s="29"/>
      <c r="Q5" s="31"/>
      <c r="R5" s="37">
        <v>1</v>
      </c>
      <c r="S5" s="37">
        <v>2</v>
      </c>
      <c r="T5" s="37">
        <v>3</v>
      </c>
      <c r="U5" s="37">
        <v>4</v>
      </c>
      <c r="V5" s="37">
        <v>5</v>
      </c>
      <c r="W5" s="37">
        <v>6</v>
      </c>
      <c r="X5" s="37">
        <v>7</v>
      </c>
      <c r="Y5" s="38">
        <v>8</v>
      </c>
    </row>
    <row r="6" ht="14" customHeight="1">
      <c r="A6" s="9"/>
      <c r="B6" s="11"/>
      <c r="C6" s="11"/>
      <c r="D6" s="11"/>
      <c r="E6" s="11"/>
      <c r="F6" s="11"/>
      <c r="G6" s="11"/>
      <c r="H6" s="20"/>
      <c r="I6" s="5"/>
      <c r="J6" s="5"/>
      <c r="K6" s="5"/>
      <c r="L6" s="5"/>
      <c r="M6" s="5"/>
      <c r="N6" s="21"/>
      <c r="O6" s="7"/>
      <c r="P6" s="39"/>
      <c r="Q6" s="40"/>
      <c r="R6" s="40"/>
      <c r="S6" s="40"/>
      <c r="T6" s="40"/>
      <c r="U6" s="40"/>
      <c r="V6" s="40"/>
      <c r="W6" s="40"/>
      <c r="X6" s="40"/>
      <c r="Y6" s="41"/>
    </row>
    <row r="7" ht="39.8" customHeight="1">
      <c r="A7" s="9"/>
      <c r="B7" s="42">
        <v>1</v>
      </c>
      <c r="C7" t="s" s="43">
        <v>14</v>
      </c>
      <c r="D7" t="s" s="44">
        <v>15</v>
      </c>
      <c r="E7" t="s" s="44">
        <v>16</v>
      </c>
      <c r="F7" s="42">
        <v>3</v>
      </c>
      <c r="G7" s="42">
        <v>4</v>
      </c>
      <c r="H7" s="12"/>
      <c r="I7" s="45">
        <v>4</v>
      </c>
      <c r="J7" t="s" s="46">
        <f>Q7</f>
        <v>17</v>
      </c>
      <c r="K7" t="s" s="47">
        <f>Q11</f>
        <v>17</v>
      </c>
      <c r="L7" t="s" s="48">
        <f>Q15</f>
        <v>17</v>
      </c>
      <c r="M7" t="s" s="49">
        <f>Q21</f>
        <v>17</v>
      </c>
      <c r="N7" s="18"/>
      <c r="O7" s="50"/>
      <c r="P7" t="s" s="51">
        <f>CONCATENATE(F7,G7)</f>
        <v>18</v>
      </c>
      <c r="Q7" t="s" s="52">
        <f>CONCATENATE(R7," ",S7," ",T7," ",U7," ",V7," ",W7," ",X7," ",Y7)</f>
        <v>19</v>
      </c>
      <c r="R7" t="s" s="53">
        <f>IF($P$7="41",1,"")</f>
      </c>
      <c r="S7" t="s" s="53">
        <f>IF($P$8="41",2,"")</f>
      </c>
      <c r="T7" t="s" s="53">
        <f>IF($P$9="41",3,"")</f>
      </c>
      <c r="U7" t="s" s="53">
        <f>IF($P$10="41",4,"")</f>
      </c>
      <c r="V7" t="s" s="53">
        <f>IF($P$11="41",5,"")</f>
      </c>
      <c r="W7" t="s" s="53">
        <f>IF($P$12="41",6,"")</f>
      </c>
      <c r="X7" t="s" s="53">
        <f>IF($P$13="41",7,"")</f>
      </c>
      <c r="Y7" t="s" s="54">
        <f>IF($P$14="41",8,"")</f>
      </c>
    </row>
    <row r="8" ht="39.8" customHeight="1">
      <c r="A8" s="9"/>
      <c r="B8" s="42">
        <v>2</v>
      </c>
      <c r="C8" t="s" s="43">
        <v>20</v>
      </c>
      <c r="D8" t="s" s="44">
        <v>21</v>
      </c>
      <c r="E8" t="s" s="44">
        <v>22</v>
      </c>
      <c r="F8" s="42">
        <v>3</v>
      </c>
      <c r="G8" s="42">
        <v>4</v>
      </c>
      <c r="H8" s="12"/>
      <c r="I8" s="55">
        <v>3</v>
      </c>
      <c r="J8" t="s" s="56">
        <f>Q8</f>
        <v>17</v>
      </c>
      <c r="K8" t="s" s="57">
        <f>Q12</f>
        <v>17</v>
      </c>
      <c r="L8" t="s" s="57">
        <f>Q16</f>
        <v>17</v>
      </c>
      <c r="M8" t="s" s="58">
        <f>Q23</f>
        <v>23</v>
      </c>
      <c r="N8" s="18"/>
      <c r="O8" s="50"/>
      <c r="P8" t="s" s="51">
        <f>CONCATENATE(F8,G8)</f>
        <v>18</v>
      </c>
      <c r="Q8" t="s" s="59">
        <f>CONCATENATE(R8," ",S8," ",T8," ",U8," ",V8," ",W8," ",X8," ",Y8)</f>
        <v>19</v>
      </c>
      <c r="R8" t="s" s="60">
        <f>IF($P$7="31",1,"")</f>
      </c>
      <c r="S8" t="s" s="60">
        <f>IF($P$8="31",2,"")</f>
      </c>
      <c r="T8" t="s" s="60">
        <f>IF($P$9="31",3,"")</f>
      </c>
      <c r="U8" t="s" s="60">
        <f>IF($P$10="31",4,"")</f>
      </c>
      <c r="V8" t="s" s="60">
        <f>IF($P$11="31",5,"")</f>
      </c>
      <c r="W8" t="s" s="60">
        <f>IF($P$12="31",6,"")</f>
      </c>
      <c r="X8" t="s" s="60">
        <f>IF($P$13="31",7,"")</f>
      </c>
      <c r="Y8" t="s" s="61">
        <f>IF($P$14="31",8,"")</f>
      </c>
    </row>
    <row r="9" ht="39.8" customHeight="1">
      <c r="A9" s="9"/>
      <c r="B9" s="42">
        <v>3</v>
      </c>
      <c r="C9" t="s" s="43">
        <v>24</v>
      </c>
      <c r="D9" t="s" s="44">
        <v>25</v>
      </c>
      <c r="E9" t="s" s="44">
        <v>26</v>
      </c>
      <c r="F9" s="42">
        <v>1</v>
      </c>
      <c r="G9" s="42">
        <v>3</v>
      </c>
      <c r="H9" s="12"/>
      <c r="I9" s="55">
        <v>2</v>
      </c>
      <c r="J9" t="s" s="62">
        <f>Q9</f>
        <v>27</v>
      </c>
      <c r="K9" t="s" s="57">
        <f>Q13</f>
        <v>17</v>
      </c>
      <c r="L9" t="s" s="57">
        <f>Q17</f>
        <v>17</v>
      </c>
      <c r="M9" t="s" s="58">
        <f>Q24</f>
        <v>17</v>
      </c>
      <c r="N9" s="18"/>
      <c r="O9" s="50"/>
      <c r="P9" t="s" s="51">
        <f>CONCATENATE(F9,G9)</f>
        <v>28</v>
      </c>
      <c r="Q9" t="s" s="59">
        <f>CONCATENATE(R9," ",S9," ",T9," ",U9," ",V9," ",W9," ",X9," ",Y9)</f>
        <v>29</v>
      </c>
      <c r="R9" t="s" s="60">
        <f>IF($P$7="21",1,"")</f>
      </c>
      <c r="S9" t="s" s="60">
        <f>IF($P$8="21",2,"")</f>
      </c>
      <c r="T9" t="s" s="60">
        <f>IF($P$9="21",3,"")</f>
      </c>
      <c r="U9" s="63">
        <f>IF($P$10="21",4,"")</f>
        <v>4</v>
      </c>
      <c r="V9" t="s" s="60">
        <f>IF($P$11="21",5,"")</f>
      </c>
      <c r="W9" t="s" s="60">
        <f>IF($P$12="21",6,"")</f>
      </c>
      <c r="X9" t="s" s="60">
        <f>IF($P$13="21",7,"")</f>
      </c>
      <c r="Y9" t="s" s="61">
        <f>IF($P$14="21",8,"")</f>
      </c>
    </row>
    <row r="10" ht="39.8" customHeight="1">
      <c r="A10" s="9"/>
      <c r="B10" s="42">
        <v>4</v>
      </c>
      <c r="C10" t="s" s="43">
        <v>30</v>
      </c>
      <c r="D10" t="s" s="44">
        <v>31</v>
      </c>
      <c r="E10" t="s" s="44">
        <v>32</v>
      </c>
      <c r="F10" s="42">
        <v>2</v>
      </c>
      <c r="G10" s="42">
        <v>1</v>
      </c>
      <c r="H10" s="12"/>
      <c r="I10" s="55">
        <v>1</v>
      </c>
      <c r="J10" t="s" s="64">
        <f>Q10</f>
        <v>17</v>
      </c>
      <c r="K10" t="s" s="65">
        <f>Q14</f>
        <v>17</v>
      </c>
      <c r="L10" t="s" s="66">
        <f>Q18</f>
        <v>33</v>
      </c>
      <c r="M10" t="s" s="67">
        <f>Q25</f>
        <v>17</v>
      </c>
      <c r="N10" s="18"/>
      <c r="O10" s="50"/>
      <c r="P10" t="s" s="51">
        <f>CONCATENATE(F10,G10)</f>
        <v>34</v>
      </c>
      <c r="Q10" t="s" s="68">
        <f>CONCATENATE(R10," ",S10," ",T10," ",U10," ",V10," ",W10," ",X10," ",Y10)</f>
        <v>19</v>
      </c>
      <c r="R10" t="s" s="69">
        <f>IF($P$7="11",1,"")</f>
      </c>
      <c r="S10" t="s" s="69">
        <f>IF($P$8="11",2,"")</f>
      </c>
      <c r="T10" t="s" s="69">
        <f>IF($P$9="11",3,"")</f>
      </c>
      <c r="U10" t="s" s="69">
        <f>IF($P$10="11",4,"")</f>
      </c>
      <c r="V10" t="s" s="69">
        <f>IF($P$11="11",5,"")</f>
      </c>
      <c r="W10" t="s" s="69">
        <f>IF($P$12="11",6,"")</f>
      </c>
      <c r="X10" t="s" s="69">
        <f>IF($P$13="11",7,"")</f>
      </c>
      <c r="Y10" t="s" s="70">
        <f>IF($P$14="11",8,"")</f>
      </c>
    </row>
    <row r="11" ht="39.8" customHeight="1">
      <c r="A11" s="9"/>
      <c r="B11" s="42">
        <v>5</v>
      </c>
      <c r="C11" s="71"/>
      <c r="D11" s="72"/>
      <c r="E11" s="73"/>
      <c r="F11" s="74"/>
      <c r="G11" s="74"/>
      <c r="H11" s="12"/>
      <c r="I11" s="75"/>
      <c r="J11" s="76">
        <v>1</v>
      </c>
      <c r="K11" s="76">
        <v>2</v>
      </c>
      <c r="L11" s="76">
        <v>3</v>
      </c>
      <c r="M11" s="77">
        <v>4</v>
      </c>
      <c r="N11" s="18"/>
      <c r="O11" s="50"/>
      <c r="P11" t="s" s="51">
        <f>CONCATENATE(F11,G11)</f>
      </c>
      <c r="Q11" t="s" s="52">
        <f>CONCATENATE(R11," ",S11," ",T11," ",U11," ",V11," ",W11," ",X11," ",Y11)</f>
        <v>19</v>
      </c>
      <c r="R11" t="s" s="53">
        <f>IF($P$7="42",1,"")</f>
      </c>
      <c r="S11" t="s" s="53">
        <f>IF($P$8="42",2,"")</f>
      </c>
      <c r="T11" t="s" s="53">
        <f>IF($P$9="42",3,"")</f>
      </c>
      <c r="U11" t="s" s="53">
        <f>IF($P$10="42",4,"")</f>
      </c>
      <c r="V11" t="s" s="53">
        <f>IF($P$11="42",5,"")</f>
      </c>
      <c r="W11" t="s" s="53">
        <f>IF($P$12="42",6,"")</f>
      </c>
      <c r="X11" t="s" s="53">
        <f>IF($P$13="42",7,"")</f>
      </c>
      <c r="Y11" t="s" s="54">
        <f>IF($P$14="42",8,"")</f>
      </c>
    </row>
    <row r="12" ht="39.8" customHeight="1">
      <c r="A12" s="78"/>
      <c r="B12" s="79">
        <v>6</v>
      </c>
      <c r="C12" s="80"/>
      <c r="D12" s="73"/>
      <c r="E12" s="73"/>
      <c r="F12" s="80"/>
      <c r="G12" s="80"/>
      <c r="H12" s="20"/>
      <c r="I12" s="4"/>
      <c r="J12" s="4"/>
      <c r="K12" t="s" s="81">
        <v>35</v>
      </c>
      <c r="L12" s="82"/>
      <c r="M12" s="4"/>
      <c r="N12" s="21"/>
      <c r="O12" s="50"/>
      <c r="P12" t="s" s="83">
        <f>CONCATENATE(F12,G12)</f>
      </c>
      <c r="Q12" t="s" s="59">
        <f>CONCATENATE(R12," ",S12," ",T12," ",U12," ",V12," ",W12," ",X12," ",Y12)</f>
        <v>19</v>
      </c>
      <c r="R12" t="s" s="60">
        <f>IF($P$7="32",1,"")</f>
      </c>
      <c r="S12" t="s" s="60">
        <f>IF($P$8="32",2,"")</f>
      </c>
      <c r="T12" t="s" s="60">
        <f>IF($P$9="32",3,"")</f>
      </c>
      <c r="U12" t="s" s="60">
        <f>IF($P$10="32",4,"")</f>
      </c>
      <c r="V12" t="s" s="60">
        <f>IF($P$11="32",5,"")</f>
      </c>
      <c r="W12" t="s" s="60">
        <f>IF($P$12="32",6,"")</f>
      </c>
      <c r="X12" t="s" s="60">
        <f>IF($P$13="32",7,"")</f>
      </c>
      <c r="Y12" t="s" s="61">
        <f>IF($P$14="32",8,"")</f>
      </c>
    </row>
    <row r="13" ht="39.8" customHeight="1">
      <c r="A13" s="78"/>
      <c r="B13" s="79">
        <v>7</v>
      </c>
      <c r="C13" s="80"/>
      <c r="D13" s="84"/>
      <c r="E13" s="73"/>
      <c r="F13" s="80"/>
      <c r="G13" s="80"/>
      <c r="H13" s="20"/>
      <c r="I13" s="8"/>
      <c r="J13" t="s" s="85">
        <v>36</v>
      </c>
      <c r="K13" s="8"/>
      <c r="L13" s="8"/>
      <c r="M13" s="8"/>
      <c r="N13" s="21"/>
      <c r="O13" s="50"/>
      <c r="P13" t="s" s="83">
        <f>CONCATENATE(F13,G13)</f>
      </c>
      <c r="Q13" t="s" s="59">
        <f>CONCATENATE(R13," ",S13," ",T13," ",U13," ",V13," ",W13," ",X13," ",Y13)</f>
        <v>19</v>
      </c>
      <c r="R13" t="s" s="60">
        <f>IF($P$7="22",1,"")</f>
      </c>
      <c r="S13" t="s" s="60">
        <f>IF($P$8="22",2,"")</f>
      </c>
      <c r="T13" t="s" s="60">
        <f>IF($P$9="22",3,"")</f>
      </c>
      <c r="U13" t="s" s="60">
        <f>IF($P$10="22",4,"")</f>
      </c>
      <c r="V13" t="s" s="60">
        <f>IF($P$11="22",5,"")</f>
      </c>
      <c r="W13" t="s" s="60">
        <f>IF($P$12="22",6,"")</f>
      </c>
      <c r="X13" t="s" s="60">
        <f>IF($P$13="22",7,"")</f>
      </c>
      <c r="Y13" t="s" s="61">
        <f>IF($P$14="22",8,"")</f>
      </c>
    </row>
    <row r="14" ht="39.8" customHeight="1">
      <c r="A14" s="78"/>
      <c r="B14" s="79">
        <v>8</v>
      </c>
      <c r="C14" s="80"/>
      <c r="D14" s="86"/>
      <c r="E14" s="87"/>
      <c r="F14" s="88"/>
      <c r="G14" s="88"/>
      <c r="H14" s="20"/>
      <c r="I14" s="8"/>
      <c r="J14" s="8"/>
      <c r="K14" s="8"/>
      <c r="L14" s="8"/>
      <c r="M14" s="8"/>
      <c r="N14" s="21"/>
      <c r="O14" s="50"/>
      <c r="P14" t="s" s="83">
        <f>CONCATENATE(F14,G14)</f>
      </c>
      <c r="Q14" t="s" s="68">
        <f>CONCATENATE(R14," ",S14," ",T14," ",U14," ",V14," ",W14," ",X14," ",Y14)</f>
        <v>19</v>
      </c>
      <c r="R14" t="s" s="69">
        <f>IF($P$7="12",1,"")</f>
      </c>
      <c r="S14" t="s" s="69">
        <f>IF($P$8="12",2,"")</f>
      </c>
      <c r="T14" t="s" s="69">
        <f>IF($P$9="12",3,"")</f>
      </c>
      <c r="U14" t="s" s="69">
        <f>IF($P$10="12",4,"")</f>
      </c>
      <c r="V14" t="s" s="69">
        <f>IF($P$11="12",5,"")</f>
      </c>
      <c r="W14" t="s" s="69">
        <f>IF($P$12="12",6,"")</f>
      </c>
      <c r="X14" t="s" s="69">
        <f>IF($P$13="12",7,"")</f>
      </c>
      <c r="Y14" t="s" s="70">
        <f>IF($P$14="12",8,"")</f>
      </c>
    </row>
    <row r="15" ht="15" customHeight="1">
      <c r="A15" s="7"/>
      <c r="B15" s="89"/>
      <c r="C15" s="89"/>
      <c r="D15" s="89"/>
      <c r="E15" s="89"/>
      <c r="F15" s="89"/>
      <c r="G15" s="89"/>
      <c r="H15" s="90"/>
      <c r="I15" s="90"/>
      <c r="J15" s="90"/>
      <c r="K15" s="90"/>
      <c r="L15" s="90"/>
      <c r="M15" s="90"/>
      <c r="N15" s="21"/>
      <c r="O15" s="7"/>
      <c r="P15" s="91"/>
      <c r="Q15" t="s" s="52">
        <f>CONCATENATE(R15," ",S15," ",T15," ",U15," ",V15," ",W15," ",X15," ",Y15)</f>
        <v>19</v>
      </c>
      <c r="R15" t="s" s="53">
        <f>IF($P$7="43",1,"")</f>
      </c>
      <c r="S15" t="s" s="53">
        <f>IF($P$8="43",2,"")</f>
      </c>
      <c r="T15" t="s" s="53">
        <f>IF($P$9="43",3,"")</f>
      </c>
      <c r="U15" t="s" s="53">
        <f>IF($P$10="43",4,"")</f>
      </c>
      <c r="V15" t="s" s="53">
        <f>IF($P$11="43",5,"")</f>
      </c>
      <c r="W15" t="s" s="53">
        <f>IF($P$12="43",6,"")</f>
      </c>
      <c r="X15" t="s" s="53">
        <f>IF($P$13="43",7,"")</f>
      </c>
      <c r="Y15" t="s" s="54">
        <f>IF($P$14="43",8,"")</f>
      </c>
    </row>
    <row r="16" ht="15" customHeight="1">
      <c r="A16" s="9"/>
      <c r="B16" t="s" s="23">
        <v>4</v>
      </c>
      <c r="C16" t="s" s="23">
        <v>37</v>
      </c>
      <c r="D16" s="11"/>
      <c r="E16" t="s" s="23">
        <v>38</v>
      </c>
      <c r="F16" s="11"/>
      <c r="G16" s="11"/>
      <c r="H16" s="11"/>
      <c r="I16" s="11"/>
      <c r="J16" t="s" s="23">
        <v>39</v>
      </c>
      <c r="K16" s="11"/>
      <c r="L16" s="11"/>
      <c r="M16" s="11"/>
      <c r="N16" s="12"/>
      <c r="O16" s="7"/>
      <c r="P16" s="92"/>
      <c r="Q16" t="s" s="59">
        <f>CONCATENATE(R16," ",S16," ",T16," ",U16," ",V16," ",W16," ",X16," ",Y16)</f>
        <v>19</v>
      </c>
      <c r="R16" t="s" s="60">
        <f>IF($P$7="33",1,"")</f>
      </c>
      <c r="S16" t="s" s="60">
        <f>IF($P$8="33",2,"")</f>
      </c>
      <c r="T16" t="s" s="60">
        <f>IF($P$9="33",3,"")</f>
      </c>
      <c r="U16" t="s" s="60">
        <f>IF($P$10="33",4,"")</f>
      </c>
      <c r="V16" t="s" s="60">
        <f>IF($P$11="33",5,"")</f>
      </c>
      <c r="W16" t="s" s="60">
        <f>IF($P$12="33",6,"")</f>
      </c>
      <c r="X16" t="s" s="60">
        <f>IF($P$13="33",7,"")</f>
      </c>
      <c r="Y16" t="s" s="61">
        <f>IF($P$14="33",8,"")</f>
      </c>
    </row>
    <row r="17" ht="15" customHeight="1">
      <c r="A17" s="9"/>
      <c r="B17" s="79">
        <v>1</v>
      </c>
      <c r="C17" t="s" s="93">
        <v>40</v>
      </c>
      <c r="D17" s="94"/>
      <c r="E17" t="s" s="93">
        <v>41</v>
      </c>
      <c r="F17" s="94"/>
      <c r="G17" s="94"/>
      <c r="H17" s="94"/>
      <c r="I17" s="94"/>
      <c r="J17" s="95">
        <v>150</v>
      </c>
      <c r="K17" s="94"/>
      <c r="L17" s="94"/>
      <c r="M17" t="s" s="93">
        <v>42</v>
      </c>
      <c r="N17" s="12"/>
      <c r="O17" s="7"/>
      <c r="P17" s="92"/>
      <c r="Q17" t="s" s="59">
        <f>CONCATENATE(R17," ",S17," ",T17," ",U17," ",V17," ",W17," ",X17," ",Y17)</f>
        <v>19</v>
      </c>
      <c r="R17" t="s" s="60">
        <f>IF($P$7="23",1,"")</f>
      </c>
      <c r="S17" t="s" s="60">
        <f>IF($P$8="23",2,"")</f>
      </c>
      <c r="T17" t="s" s="60">
        <f>IF($P$9="23",3,"")</f>
      </c>
      <c r="U17" t="s" s="60">
        <f>IF($P$10="23",4,"")</f>
      </c>
      <c r="V17" t="s" s="60">
        <f>IF($P$11="23",5,"")</f>
      </c>
      <c r="W17" t="s" s="60">
        <f>IF($P$12="23",6,"")</f>
      </c>
      <c r="X17" t="s" s="60">
        <f>IF($P$13="23",7,"")</f>
      </c>
      <c r="Y17" t="s" s="61">
        <f>IF($P$14="23",8,"")</f>
      </c>
    </row>
    <row r="18" ht="15" customHeight="1">
      <c r="A18" s="9"/>
      <c r="B18" t="s" s="96">
        <v>43</v>
      </c>
      <c r="C18" t="s" s="93">
        <v>44</v>
      </c>
      <c r="D18" s="94"/>
      <c r="E18" t="s" s="97">
        <v>45</v>
      </c>
      <c r="F18" s="98"/>
      <c r="G18" s="98"/>
      <c r="H18" s="98"/>
      <c r="I18" s="99"/>
      <c r="J18" s="95">
        <v>500</v>
      </c>
      <c r="K18" s="94"/>
      <c r="L18" s="94"/>
      <c r="M18" t="s" s="93">
        <v>42</v>
      </c>
      <c r="N18" s="12"/>
      <c r="O18" s="7"/>
      <c r="P18" s="92"/>
      <c r="Q18" t="s" s="59">
        <f>CONCATENATE(R18," ",S18," ",T18," ",U18," ",V18," ",W18," ",X18," ",Y18)</f>
        <v>46</v>
      </c>
      <c r="R18" t="s" s="60">
        <f>IF($P$7="13",1,"")</f>
      </c>
      <c r="S18" t="s" s="60">
        <f>IF($P$8="13",2,"")</f>
      </c>
      <c r="T18" s="63">
        <f>IF($P$9="13",3,"")</f>
        <v>3</v>
      </c>
      <c r="U18" t="s" s="60">
        <f>IF($P$10="13",4,"")</f>
      </c>
      <c r="V18" t="s" s="60">
        <f>IF($P$11="13",5,"")</f>
      </c>
      <c r="W18" t="s" s="60">
        <f>IF($P$12="13",6,"")</f>
      </c>
      <c r="X18" t="s" s="60">
        <f>IF($P$13="13",7,"")</f>
      </c>
      <c r="Y18" t="s" s="61">
        <f>IF($P$14="13",8,"")</f>
      </c>
    </row>
    <row r="19" ht="15" customHeight="1">
      <c r="A19" s="9"/>
      <c r="B19" t="s" s="96">
        <v>47</v>
      </c>
      <c r="C19" t="s" s="93">
        <v>48</v>
      </c>
      <c r="D19" s="11"/>
      <c r="E19" t="s" s="97">
        <v>45</v>
      </c>
      <c r="F19" s="89"/>
      <c r="G19" s="89"/>
      <c r="H19" s="89"/>
      <c r="I19" s="100"/>
      <c r="J19" s="95">
        <v>100</v>
      </c>
      <c r="K19" s="11"/>
      <c r="L19" s="11"/>
      <c r="M19" t="s" s="93">
        <v>42</v>
      </c>
      <c r="N19" s="12"/>
      <c r="O19" s="7"/>
      <c r="P19" s="92"/>
      <c r="Q19" t="s" s="68">
        <f>CONCATENATE(R19," ",S19," ",T19," ",U19," ",V19," ",W19," ",X19," ",Y19)</f>
        <v>19</v>
      </c>
      <c r="R19" s="101"/>
      <c r="S19" s="101"/>
      <c r="T19" s="101"/>
      <c r="U19" s="101"/>
      <c r="V19" s="101"/>
      <c r="W19" s="101"/>
      <c r="X19" s="101"/>
      <c r="Y19" s="102"/>
    </row>
    <row r="20" ht="15" customHeight="1">
      <c r="A20" s="9"/>
      <c r="B20" t="s" s="96">
        <v>49</v>
      </c>
      <c r="C20" t="s" s="93">
        <v>50</v>
      </c>
      <c r="D20" s="11"/>
      <c r="E20" t="s" s="93">
        <v>51</v>
      </c>
      <c r="F20" s="11"/>
      <c r="G20" s="11"/>
      <c r="H20" s="11"/>
      <c r="I20" s="11"/>
      <c r="J20" s="103">
        <v>2000</v>
      </c>
      <c r="K20" s="11"/>
      <c r="L20" s="11"/>
      <c r="M20" t="s" s="93">
        <v>42</v>
      </c>
      <c r="N20" s="12"/>
      <c r="O20" s="7"/>
      <c r="P20" s="92"/>
      <c r="Q20" t="s" s="104">
        <f>CONCATENATE(R20," ",S20," ",T20," ",U20," ",V20," ",W20," ",X20," ",Y20)</f>
        <v>19</v>
      </c>
      <c r="R20" s="105"/>
      <c r="S20" s="105"/>
      <c r="T20" s="105"/>
      <c r="U20" s="105"/>
      <c r="V20" s="105"/>
      <c r="W20" s="105"/>
      <c r="X20" s="105"/>
      <c r="Y20" s="106"/>
    </row>
    <row r="21" ht="15" customHeight="1">
      <c r="A21" s="9"/>
      <c r="B21" s="79">
        <v>3</v>
      </c>
      <c r="C21" t="s" s="93">
        <v>52</v>
      </c>
      <c r="D21" s="94"/>
      <c r="E21" t="s" s="93">
        <v>53</v>
      </c>
      <c r="F21" s="94"/>
      <c r="G21" s="94"/>
      <c r="H21" s="94"/>
      <c r="I21" s="94"/>
      <c r="J21" s="95">
        <v>10</v>
      </c>
      <c r="K21" s="94"/>
      <c r="L21" s="94"/>
      <c r="M21" t="s" s="93">
        <v>42</v>
      </c>
      <c r="N21" s="12"/>
      <c r="O21" s="7"/>
      <c r="P21" s="92"/>
      <c r="Q21" t="s" s="104">
        <f>CONCATENATE(R21," ",S21," ",T21," ",U21," ",V21," ",W21," ",X21," ",Y21)</f>
        <v>19</v>
      </c>
      <c r="R21" t="s" s="107">
        <f>IF($P$7="44",1,"")</f>
      </c>
      <c r="S21" t="s" s="107">
        <f>IF($P$8="44",2,"")</f>
      </c>
      <c r="T21" t="s" s="107">
        <f>IF($P$9="44",3,"")</f>
      </c>
      <c r="U21" t="s" s="107">
        <f>IF($P$10="44",4,"")</f>
      </c>
      <c r="V21" t="s" s="107">
        <f>IF($P$11="44",5,"")</f>
      </c>
      <c r="W21" t="s" s="107">
        <f>IF($P$12="44",6,"")</f>
      </c>
      <c r="X21" t="s" s="107">
        <f>IF($P$13="44",7,"")</f>
      </c>
      <c r="Y21" t="s" s="108">
        <f>IF($P$14="44",8,"")</f>
      </c>
    </row>
    <row r="22" ht="15" customHeight="1">
      <c r="A22" s="9"/>
      <c r="B22" s="79">
        <v>4</v>
      </c>
      <c r="C22" t="s" s="93">
        <v>54</v>
      </c>
      <c r="D22" s="11"/>
      <c r="E22" s="94"/>
      <c r="F22" s="11"/>
      <c r="G22" s="11"/>
      <c r="H22" s="11"/>
      <c r="I22" s="11"/>
      <c r="J22" s="94"/>
      <c r="K22" s="11"/>
      <c r="L22" s="11"/>
      <c r="M22" t="s" s="93">
        <v>42</v>
      </c>
      <c r="N22" s="12"/>
      <c r="O22" s="7"/>
      <c r="P22" s="92"/>
      <c r="Q22" t="s" s="52">
        <f>CONCATENATE(R22," ",S22," ",T22," ",U22," ",V22," ",W22," ",X22," ",Y22)</f>
        <v>19</v>
      </c>
      <c r="R22" s="109"/>
      <c r="S22" s="109"/>
      <c r="T22" s="109"/>
      <c r="U22" s="109"/>
      <c r="V22" s="109"/>
      <c r="W22" s="109"/>
      <c r="X22" s="109"/>
      <c r="Y22" s="110"/>
    </row>
    <row r="23" ht="15" customHeight="1">
      <c r="A23" s="7"/>
      <c r="B23" s="111"/>
      <c r="C23" t="s" s="112">
        <v>55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1"/>
      <c r="O23" s="7"/>
      <c r="P23" s="92"/>
      <c r="Q23" t="s" s="59">
        <f>CONCATENATE(R23," ",S23," ",T23," ",U23," ",V23," ",W23," ",X23," ",Y23)</f>
        <v>56</v>
      </c>
      <c r="R23" s="63">
        <f>IF($P$7="34",1,"")</f>
        <v>1</v>
      </c>
      <c r="S23" s="63">
        <f>IF($P$8="34",2,"")</f>
        <v>2</v>
      </c>
      <c r="T23" t="s" s="60">
        <f>IF($P$9="34",3,"")</f>
      </c>
      <c r="U23" t="s" s="60">
        <f>IF($P$10="34",4,"")</f>
      </c>
      <c r="V23" t="s" s="60">
        <f>IF($P$11="34",5,"")</f>
      </c>
      <c r="W23" t="s" s="60">
        <f>IF($P$12="34",6,"")</f>
      </c>
      <c r="X23" t="s" s="60">
        <f>IF($P$13="34",7,"")</f>
      </c>
      <c r="Y23" t="s" s="61">
        <f>IF($P$14="34",8,"")</f>
      </c>
    </row>
    <row r="24" ht="14" customHeight="1">
      <c r="A24" s="113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14"/>
      <c r="O24" s="7"/>
      <c r="P24" s="92"/>
      <c r="Q24" t="s" s="59">
        <f>CONCATENATE(R24," ",S24," ",T24," ",U24," ",V24," ",W24," ",X24," ",Y24)</f>
        <v>19</v>
      </c>
      <c r="R24" t="s" s="60">
        <f>IF($P$7="24",1,"")</f>
      </c>
      <c r="S24" t="s" s="60">
        <f>IF($P$8="24",2,"")</f>
      </c>
      <c r="T24" t="s" s="60">
        <f>IF($P$9="24",3,"")</f>
      </c>
      <c r="U24" t="s" s="60">
        <f>IF($P$10="24",4,"")</f>
      </c>
      <c r="V24" t="s" s="60">
        <f>IF($P$11="24",5,"")</f>
      </c>
      <c r="W24" t="s" s="60">
        <f>IF($P$12="24",6,"")</f>
      </c>
      <c r="X24" t="s" s="60">
        <f>IF($P$13="24",7,"")</f>
      </c>
      <c r="Y24" t="s" s="61">
        <f>IF($P$14="24",8,"")</f>
      </c>
    </row>
    <row r="25" ht="1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8"/>
      <c r="P25" s="92"/>
      <c r="Q25" t="s" s="68">
        <f>CONCATENATE(R25," ",S25," ",T25," ",U25," ",V25," ",W25," ",X25," ",Y25)</f>
        <v>19</v>
      </c>
      <c r="R25" t="s" s="69">
        <f>IF($P$7="14",1,"")</f>
      </c>
      <c r="S25" t="s" s="69">
        <f>IF($P$8="14",2,"")</f>
      </c>
      <c r="T25" t="s" s="69">
        <f>IF($P$9="14",3,"")</f>
      </c>
      <c r="U25" t="s" s="69">
        <f>IF($P$10="14",4,"")</f>
      </c>
      <c r="V25" t="s" s="69">
        <f>IF($P$11="14",5,"")</f>
      </c>
      <c r="W25" t="s" s="69">
        <f>IF($P$12="14",6,"")</f>
      </c>
      <c r="X25" t="s" s="69">
        <f>IF($P$13="14",7,"")</f>
      </c>
      <c r="Y25" t="s" s="70">
        <f>IF($P$14="14",8,"")</f>
      </c>
    </row>
    <row r="26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11"/>
      <c r="R26" s="111"/>
      <c r="S26" s="111"/>
      <c r="T26" s="111"/>
      <c r="U26" s="111"/>
      <c r="V26" s="111"/>
      <c r="W26" s="111"/>
      <c r="X26" s="111"/>
      <c r="Y26" s="111"/>
    </row>
    <row r="27" ht="15" customHeight="1">
      <c r="A27" s="8"/>
      <c r="B27" s="8"/>
      <c r="C27" s="90"/>
      <c r="D27" s="90"/>
      <c r="E27" s="90"/>
      <c r="F27" s="90"/>
      <c r="G27" s="90"/>
      <c r="H27" s="90"/>
      <c r="I27" s="90"/>
      <c r="J27" s="90"/>
      <c r="K27" s="9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5" customHeight="1">
      <c r="A28" s="8"/>
      <c r="B28" s="92"/>
      <c r="C28" t="s" s="115">
        <v>57</v>
      </c>
      <c r="D28" s="116"/>
      <c r="E28" s="116"/>
      <c r="F28" s="116"/>
      <c r="G28" s="116"/>
      <c r="H28" s="116"/>
      <c r="I28" s="116"/>
      <c r="J28" s="116"/>
      <c r="K28" s="117"/>
      <c r="L28" s="20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5" customHeight="1">
      <c r="A29" s="8"/>
      <c r="B29" s="92"/>
      <c r="C29" s="118"/>
      <c r="D29" s="119"/>
      <c r="E29" s="119"/>
      <c r="F29" s="119"/>
      <c r="G29" s="119"/>
      <c r="H29" s="119"/>
      <c r="I29" s="119"/>
      <c r="J29" s="119"/>
      <c r="K29" s="120"/>
      <c r="L29" s="20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5" customHeight="1">
      <c r="A30" s="8"/>
      <c r="B30" s="92"/>
      <c r="C30" t="s" s="121">
        <v>58</v>
      </c>
      <c r="D30" s="119"/>
      <c r="E30" s="119"/>
      <c r="F30" s="119"/>
      <c r="G30" s="119"/>
      <c r="H30" s="119"/>
      <c r="I30" s="119"/>
      <c r="J30" s="119"/>
      <c r="K30" s="120"/>
      <c r="L30" s="20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5" customHeight="1">
      <c r="A31" s="8"/>
      <c r="B31" s="92"/>
      <c r="C31" t="s" s="121">
        <v>59</v>
      </c>
      <c r="D31" s="119"/>
      <c r="E31" s="119"/>
      <c r="F31" s="119"/>
      <c r="G31" s="119"/>
      <c r="H31" s="119"/>
      <c r="I31" s="119"/>
      <c r="J31" s="119"/>
      <c r="K31" s="120"/>
      <c r="L31" s="20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5" customHeight="1">
      <c r="A32" s="8"/>
      <c r="B32" s="92"/>
      <c r="C32" t="s" s="121">
        <v>60</v>
      </c>
      <c r="D32" s="119"/>
      <c r="E32" s="119"/>
      <c r="F32" s="119"/>
      <c r="G32" s="119"/>
      <c r="H32" s="119"/>
      <c r="I32" s="119"/>
      <c r="J32" s="119"/>
      <c r="K32" s="120"/>
      <c r="L32" s="2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5" customHeight="1">
      <c r="A33" s="8"/>
      <c r="B33" s="92"/>
      <c r="C33" t="s" s="121">
        <v>61</v>
      </c>
      <c r="D33" s="119"/>
      <c r="E33" s="119"/>
      <c r="F33" s="119"/>
      <c r="G33" s="119"/>
      <c r="H33" s="119"/>
      <c r="I33" s="119"/>
      <c r="J33" s="119"/>
      <c r="K33" s="120"/>
      <c r="L33" s="2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5" customHeight="1">
      <c r="A34" s="8"/>
      <c r="B34" s="92"/>
      <c r="C34" t="s" s="121">
        <v>62</v>
      </c>
      <c r="D34" s="119"/>
      <c r="E34" s="119"/>
      <c r="F34" s="119"/>
      <c r="G34" s="119"/>
      <c r="H34" s="119"/>
      <c r="I34" s="119"/>
      <c r="J34" s="119"/>
      <c r="K34" s="120"/>
      <c r="L34" s="20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5" customHeight="1">
      <c r="A35" s="8"/>
      <c r="B35" s="92"/>
      <c r="C35" t="s" s="122">
        <v>63</v>
      </c>
      <c r="D35" s="123"/>
      <c r="E35" s="123"/>
      <c r="F35" s="123"/>
      <c r="G35" s="123"/>
      <c r="H35" s="123"/>
      <c r="I35" s="123"/>
      <c r="J35" s="123"/>
      <c r="K35" s="124"/>
      <c r="L35" s="20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5" customHeight="1">
      <c r="A36" s="8"/>
      <c r="B36" s="8"/>
      <c r="C36" s="111"/>
      <c r="D36" s="111"/>
      <c r="E36" s="111"/>
      <c r="F36" s="111"/>
      <c r="G36" s="111"/>
      <c r="H36" s="111"/>
      <c r="I36" s="111"/>
      <c r="J36" s="111"/>
      <c r="K36" s="111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5" customHeight="1">
      <c r="A37" s="8"/>
      <c r="B37" s="8"/>
      <c r="C37" t="s" s="125">
        <v>64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5" customHeight="1">
      <c r="A38" s="8"/>
      <c r="B38" s="8"/>
      <c r="C38" t="s" s="126">
        <v>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5" customHeight="1">
      <c r="A39" s="8"/>
      <c r="B39" s="8"/>
      <c r="C39" t="s" s="127">
        <v>66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</sheetData>
  <mergeCells count="29">
    <mergeCell ref="C18:D18"/>
    <mergeCell ref="E18:I18"/>
    <mergeCell ref="J18:L18"/>
    <mergeCell ref="C21:D21"/>
    <mergeCell ref="E21:I21"/>
    <mergeCell ref="J21:L21"/>
    <mergeCell ref="K12:L12"/>
    <mergeCell ref="C16:D16"/>
    <mergeCell ref="E16:I16"/>
    <mergeCell ref="J16:M16"/>
    <mergeCell ref="C17:D17"/>
    <mergeCell ref="E17:I17"/>
    <mergeCell ref="J17:L17"/>
    <mergeCell ref="J13:M13"/>
    <mergeCell ref="B6:G6"/>
    <mergeCell ref="B2:G2"/>
    <mergeCell ref="K2:M2"/>
    <mergeCell ref="B3:G3"/>
    <mergeCell ref="D4:E4"/>
    <mergeCell ref="I5:M5"/>
    <mergeCell ref="C19:D19"/>
    <mergeCell ref="E19:I19"/>
    <mergeCell ref="J19:L19"/>
    <mergeCell ref="C22:D22"/>
    <mergeCell ref="E22:I22"/>
    <mergeCell ref="J22:L22"/>
    <mergeCell ref="C20:D20"/>
    <mergeCell ref="E20:I20"/>
    <mergeCell ref="J20:L20"/>
  </mergeCells>
  <pageMargins left="0.751969" right="0.751969" top="1" bottom="1" header="0.5" footer="0.5"/>
  <pageSetup firstPageNumber="1" fitToHeight="1" fitToWidth="1" scale="100" useFirstPageNumber="0" orientation="portrait" pageOrder="downThenOver"/>
  <headerFooter>
    <oddHeader>&amp;L&amp;"Verdana,Regular"&amp;10&amp;K000000Risikoanalyse qualitativ&amp;C&amp;"Verdana,Regular"&amp;10&amp;K000000Baltic PM&amp;R&amp;"Verdana,Regular"&amp;10&amp;K000000c.b. Thomas Sadewasser</oddHeader>
    <oddFooter>&amp;L&amp;"Verdana,Regular"&amp;10&amp;K000000Risikoanalyse_qualitativ_V1.3_2013_12_02.xlsx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