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660" tabRatio="500"/>
  </bookViews>
  <sheets>
    <sheet name="Stakeholderanalyse" sheetId="7" r:id="rId1"/>
  </sheets>
  <definedNames>
    <definedName name="_xlnm.Print_Area" localSheetId="0">Stakeholderanalyse!$A$1:$N$21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7" i="7"/>
  <c r="R22"/>
  <c r="P14"/>
  <c r="Y22"/>
  <c r="P13"/>
  <c r="X22"/>
  <c r="P12"/>
  <c r="W22"/>
  <c r="P11"/>
  <c r="V22"/>
  <c r="P10"/>
  <c r="U22"/>
  <c r="P9"/>
  <c r="T22"/>
  <c r="P8"/>
  <c r="S22"/>
  <c r="R21"/>
  <c r="Y21"/>
  <c r="X21"/>
  <c r="W21"/>
  <c r="V21"/>
  <c r="U21"/>
  <c r="T21"/>
  <c r="S21"/>
  <c r="R20"/>
  <c r="Y20"/>
  <c r="X20"/>
  <c r="W20"/>
  <c r="V20"/>
  <c r="U20"/>
  <c r="T20"/>
  <c r="S20"/>
  <c r="R19"/>
  <c r="Y19"/>
  <c r="X19"/>
  <c r="W19"/>
  <c r="V19"/>
  <c r="U19"/>
  <c r="T19"/>
  <c r="S19"/>
  <c r="R18"/>
  <c r="Y18"/>
  <c r="X18"/>
  <c r="W18"/>
  <c r="V18"/>
  <c r="U18"/>
  <c r="T18"/>
  <c r="S18"/>
  <c r="S17"/>
  <c r="Y17"/>
  <c r="X17"/>
  <c r="W17"/>
  <c r="V17"/>
  <c r="U17"/>
  <c r="T17"/>
  <c r="R17"/>
  <c r="R16"/>
  <c r="Y16"/>
  <c r="X16"/>
  <c r="W16"/>
  <c r="V16"/>
  <c r="U16"/>
  <c r="T16"/>
  <c r="S16"/>
  <c r="R15"/>
  <c r="Y15"/>
  <c r="X15"/>
  <c r="W15"/>
  <c r="V15"/>
  <c r="U15"/>
  <c r="T15"/>
  <c r="S15"/>
  <c r="Q20"/>
  <c r="M8"/>
  <c r="Q21"/>
  <c r="M9"/>
  <c r="Q22"/>
  <c r="M10"/>
  <c r="Q19"/>
  <c r="M7"/>
  <c r="Q16"/>
  <c r="L8"/>
  <c r="Q17"/>
  <c r="L9"/>
  <c r="Q18"/>
  <c r="L10"/>
  <c r="Q15"/>
  <c r="L7"/>
  <c r="R14"/>
  <c r="Y14"/>
  <c r="X14"/>
  <c r="W14"/>
  <c r="V14"/>
  <c r="U14"/>
  <c r="T14"/>
  <c r="S14"/>
  <c r="Q14"/>
  <c r="R13"/>
  <c r="Y13"/>
  <c r="X13"/>
  <c r="W13"/>
  <c r="V13"/>
  <c r="U13"/>
  <c r="T13"/>
  <c r="S13"/>
  <c r="Q13"/>
  <c r="R12"/>
  <c r="Y12"/>
  <c r="X12"/>
  <c r="W12"/>
  <c r="V12"/>
  <c r="U12"/>
  <c r="T12"/>
  <c r="S12"/>
  <c r="Q12"/>
  <c r="K8"/>
  <c r="K9"/>
  <c r="K10"/>
  <c r="R11"/>
  <c r="Y11"/>
  <c r="X11"/>
  <c r="W11"/>
  <c r="V11"/>
  <c r="U11"/>
  <c r="T11"/>
  <c r="S11"/>
  <c r="Q11"/>
  <c r="K7"/>
  <c r="R9"/>
  <c r="U9"/>
  <c r="V9"/>
  <c r="X9"/>
  <c r="Y9"/>
  <c r="S9"/>
  <c r="T9"/>
  <c r="W9"/>
  <c r="Q9"/>
  <c r="J9"/>
  <c r="R10"/>
  <c r="U10"/>
  <c r="V10"/>
  <c r="X10"/>
  <c r="Y10"/>
  <c r="S10"/>
  <c r="T10"/>
  <c r="W10"/>
  <c r="Q10"/>
  <c r="J10"/>
  <c r="S8"/>
  <c r="Y8"/>
  <c r="X8"/>
  <c r="W8"/>
  <c r="V8"/>
  <c r="U8"/>
  <c r="T8"/>
  <c r="R8"/>
  <c r="Y7"/>
  <c r="X7"/>
  <c r="W7"/>
  <c r="V7"/>
  <c r="U7"/>
  <c r="T7"/>
  <c r="S7"/>
  <c r="R7"/>
  <c r="Q8"/>
  <c r="J8"/>
  <c r="Q7"/>
  <c r="J7"/>
</calcChain>
</file>

<file path=xl/sharedStrings.xml><?xml version="1.0" encoding="utf-8"?>
<sst xmlns="http://schemas.openxmlformats.org/spreadsheetml/2006/main" count="65" uniqueCount="64">
  <si>
    <t>senkrechte Achse: Konfliktpotenzial</t>
    <phoneticPr fontId="2" type="noConversion"/>
  </si>
  <si>
    <t>Baunachbar</t>
    <phoneticPr fontId="2" type="noConversion"/>
  </si>
  <si>
    <t>"will Abstand zum Haus"</t>
    <phoneticPr fontId="2" type="noConversion"/>
  </si>
  <si>
    <t>Konflikt wg. Baugrenzen vorprogrammiert (kennt Bürgermeister)</t>
    <phoneticPr fontId="2" type="noConversion"/>
  </si>
  <si>
    <t>regelmäßiges Meeting (zweiwöchentlich)</t>
    <phoneticPr fontId="2" type="noConversion"/>
  </si>
  <si>
    <t>insgesamt ca. 2.000,-</t>
    <phoneticPr fontId="2" type="noConversion"/>
  </si>
  <si>
    <t>Euro</t>
    <phoneticPr fontId="2" type="noConversion"/>
  </si>
  <si>
    <t>gemeinsame Abstimmung wegen Baugrenzen</t>
    <phoneticPr fontId="2" type="noConversion"/>
  </si>
  <si>
    <t>1, 5, 7 und Einbeziehung 4, wenn notwendig (schriftlich fixieren)</t>
    <phoneticPr fontId="2" type="noConversion"/>
  </si>
  <si>
    <t>ca. 250,-</t>
    <phoneticPr fontId="2" type="noConversion"/>
  </si>
  <si>
    <t>Euro</t>
    <phoneticPr fontId="2" type="noConversion"/>
  </si>
  <si>
    <t>Vorabstimmung, Bauvoranfrage</t>
    <phoneticPr fontId="2" type="noConversion"/>
  </si>
  <si>
    <t>4, 5</t>
    <phoneticPr fontId="2" type="noConversion"/>
  </si>
  <si>
    <t>ca. 500,-</t>
    <phoneticPr fontId="2" type="noConversion"/>
  </si>
  <si>
    <t>1, 5, 6 und bei Bedarf 3 (vorab einbeziehen)</t>
    <phoneticPr fontId="2" type="noConversion"/>
  </si>
  <si>
    <t>Einfluss</t>
    <phoneticPr fontId="2" type="noConversion"/>
  </si>
  <si>
    <t xml:space="preserve">Einfluss         </t>
    <phoneticPr fontId="2" type="noConversion"/>
  </si>
  <si>
    <t>Portfolio</t>
    <phoneticPr fontId="2" type="noConversion"/>
  </si>
  <si>
    <t>Stakeholderanalyse V1.2</t>
    <phoneticPr fontId="2" type="noConversion"/>
  </si>
  <si>
    <t>Projekt Hausbau</t>
    <phoneticPr fontId="2" type="noConversion"/>
  </si>
  <si>
    <t>"Schönste Haus"</t>
    <phoneticPr fontId="2" type="noConversion"/>
  </si>
  <si>
    <t>Hilfstabelle (nicht löschen!)</t>
    <phoneticPr fontId="2" type="noConversion"/>
  </si>
  <si>
    <t>Feld</t>
    <phoneticPr fontId="2" type="noConversion"/>
  </si>
  <si>
    <t>Stakeholder</t>
    <phoneticPr fontId="2" type="noConversion"/>
  </si>
  <si>
    <t>Maßnahmen</t>
    <phoneticPr fontId="2" type="noConversion"/>
  </si>
  <si>
    <t>beteiligte Stakeholder</t>
    <phoneticPr fontId="2" type="noConversion"/>
  </si>
  <si>
    <t>Kosten</t>
    <phoneticPr fontId="2" type="noConversion"/>
  </si>
  <si>
    <t>Projekt:</t>
    <phoneticPr fontId="2" type="noConversion"/>
  </si>
  <si>
    <t>Nr.</t>
    <phoneticPr fontId="2" type="noConversion"/>
  </si>
  <si>
    <t>Stakeholder ermitteln</t>
  </si>
  <si>
    <t>Auswirkungen der Interessen ermitteln</t>
  </si>
  <si>
    <t>Konfliktwahrscheinlichkeit und Einfluss ermitteln (1-4)</t>
  </si>
  <si>
    <t>Portfolio aufstellen (Visualisierung)</t>
  </si>
  <si>
    <t>Maßnahmen entwickeln (Stakeholderkommunikation)</t>
  </si>
  <si>
    <t>Strategien festlegen (diskursiv, partizipativ, repressiv)</t>
  </si>
  <si>
    <t>Küchenlieferant</t>
    <phoneticPr fontId="2" type="noConversion"/>
  </si>
  <si>
    <t>"so eine Küche braucht man"</t>
    <phoneticPr fontId="2" type="noConversion"/>
  </si>
  <si>
    <t>Maximalerlös</t>
    <phoneticPr fontId="2" type="noConversion"/>
  </si>
  <si>
    <t>Die Tabelle und das sich automatisch ausfüllende Portfolio sind auf 8 Stakeholder begrenzt.</t>
    <phoneticPr fontId="2" type="noConversion"/>
  </si>
  <si>
    <t>Weitere Stakeholder können nur durch ändern der Formeln hinzu gefügt werden.</t>
    <phoneticPr fontId="2" type="noConversion"/>
  </si>
  <si>
    <t>Hinweis:</t>
    <phoneticPr fontId="2" type="noConversion"/>
  </si>
  <si>
    <t>wenig Arbeit, viel Geld</t>
    <phoneticPr fontId="2" type="noConversion"/>
  </si>
  <si>
    <t>"kein Problem"</t>
    <phoneticPr fontId="2" type="noConversion"/>
  </si>
  <si>
    <t>mag keine Hunde</t>
    <phoneticPr fontId="2" type="noConversion"/>
  </si>
  <si>
    <t>Sichtachse wird verbaut, arbeitet im Bauamt</t>
    <phoneticPr fontId="2" type="noConversion"/>
  </si>
  <si>
    <t>"Vorschriften einhalten"</t>
    <phoneticPr fontId="2" type="noConversion"/>
  </si>
  <si>
    <t>möglichst wenig Arbeit, Dienst nach Vorschrift</t>
    <phoneticPr fontId="2" type="noConversion"/>
  </si>
  <si>
    <t>will seine bisherigen Planungen verkaufen, wenig Arbeit</t>
    <phoneticPr fontId="2" type="noConversion"/>
  </si>
  <si>
    <t>bekannt</t>
    <phoneticPr fontId="2" type="noConversion"/>
  </si>
  <si>
    <t>vermutet</t>
    <phoneticPr fontId="2" type="noConversion"/>
  </si>
  <si>
    <t>1-4*</t>
    <phoneticPr fontId="2" type="noConversion"/>
  </si>
  <si>
    <t>1-4**</t>
    <phoneticPr fontId="2" type="noConversion"/>
  </si>
  <si>
    <t>Rohbaufirma</t>
    <phoneticPr fontId="2" type="noConversion"/>
  </si>
  <si>
    <t>Nachbar 1</t>
    <phoneticPr fontId="2" type="noConversion"/>
  </si>
  <si>
    <t>Nachbar 2</t>
    <phoneticPr fontId="2" type="noConversion"/>
  </si>
  <si>
    <t>Bauamt</t>
    <phoneticPr fontId="2" type="noConversion"/>
  </si>
  <si>
    <t>Architekt</t>
    <phoneticPr fontId="2" type="noConversion"/>
  </si>
  <si>
    <t>Nr.</t>
    <phoneticPr fontId="2" type="noConversion"/>
  </si>
  <si>
    <t>Stakeholder</t>
    <phoneticPr fontId="2" type="noConversion"/>
  </si>
  <si>
    <t>Interessen</t>
    <phoneticPr fontId="2" type="noConversion"/>
  </si>
  <si>
    <t>Konflikt</t>
    <phoneticPr fontId="2" type="noConversion"/>
  </si>
  <si>
    <t>"wir sind die besten und preiswert"</t>
    <phoneticPr fontId="2" type="noConversion"/>
  </si>
  <si>
    <t>"bitte kein Lärm"</t>
    <phoneticPr fontId="2" type="noConversion"/>
  </si>
  <si>
    <t>Vorgehen:</t>
    <phoneticPr fontId="2" type="noConversion"/>
  </si>
</sst>
</file>

<file path=xl/styles.xml><?xml version="1.0" encoding="utf-8"?>
<styleSheet xmlns="http://schemas.openxmlformats.org/spreadsheetml/2006/main">
  <fonts count="9">
    <font>
      <sz val="10"/>
      <name val="Verdana"/>
    </font>
    <font>
      <b/>
      <sz val="10"/>
      <name val="Verdana"/>
    </font>
    <font>
      <sz val="8"/>
      <name val="Verdana"/>
    </font>
    <font>
      <sz val="10"/>
      <color indexed="10"/>
      <name val="Verdana"/>
    </font>
    <font>
      <b/>
      <sz val="10"/>
      <color indexed="10"/>
      <name val="Verdana"/>
    </font>
    <font>
      <sz val="10"/>
      <color indexed="48"/>
      <name val="Verdana"/>
    </font>
    <font>
      <sz val="10"/>
      <color indexed="55"/>
      <name val="Verdana"/>
    </font>
    <font>
      <b/>
      <sz val="12"/>
      <name val="Verdana"/>
    </font>
    <font>
      <sz val="8"/>
      <color indexed="48"/>
      <name val="Verdana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13" borderId="26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6" fillId="6" borderId="0" xfId="0" applyFont="1" applyFill="1"/>
    <xf numFmtId="0" fontId="6" fillId="6" borderId="16" xfId="0" applyFont="1" applyFill="1" applyBorder="1" applyAlignment="1">
      <alignment horizontal="left" vertical="top"/>
    </xf>
    <xf numFmtId="0" fontId="6" fillId="6" borderId="17" xfId="0" applyFont="1" applyFill="1" applyBorder="1" applyAlignment="1">
      <alignment horizontal="left" vertical="top"/>
    </xf>
    <xf numFmtId="0" fontId="6" fillId="6" borderId="18" xfId="0" applyFont="1" applyFill="1" applyBorder="1" applyAlignment="1">
      <alignment horizontal="left" vertical="top"/>
    </xf>
    <xf numFmtId="0" fontId="6" fillId="6" borderId="22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/>
    </xf>
    <xf numFmtId="0" fontId="6" fillId="6" borderId="23" xfId="0" applyFont="1" applyFill="1" applyBorder="1" applyAlignment="1">
      <alignment horizontal="left" vertical="top"/>
    </xf>
    <xf numFmtId="0" fontId="6" fillId="6" borderId="19" xfId="0" applyFont="1" applyFill="1" applyBorder="1" applyAlignment="1">
      <alignment horizontal="left" vertical="top"/>
    </xf>
    <xf numFmtId="0" fontId="6" fillId="6" borderId="20" xfId="0" applyFont="1" applyFill="1" applyBorder="1" applyAlignment="1">
      <alignment horizontal="left" vertical="top"/>
    </xf>
    <xf numFmtId="0" fontId="6" fillId="6" borderId="21" xfId="0" applyFon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1" fillId="0" borderId="0" xfId="0" applyFont="1" applyBorder="1"/>
    <xf numFmtId="0" fontId="0" fillId="0" borderId="9" xfId="0" applyBorder="1"/>
    <xf numFmtId="0" fontId="0" fillId="0" borderId="11" xfId="0" applyBorder="1"/>
    <xf numFmtId="0" fontId="7" fillId="0" borderId="29" xfId="0" applyFont="1" applyBorder="1" applyAlignment="1"/>
    <xf numFmtId="0" fontId="0" fillId="0" borderId="29" xfId="0" applyBorder="1" applyAlignment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0" fillId="0" borderId="29" xfId="0" applyBorder="1"/>
    <xf numFmtId="16" fontId="0" fillId="0" borderId="29" xfId="0" applyNumberFormat="1" applyBorder="1"/>
    <xf numFmtId="0" fontId="5" fillId="0" borderId="29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1" fillId="0" borderId="29" xfId="0" applyFont="1" applyBorder="1" applyAlignment="1"/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0" borderId="29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8" fillId="0" borderId="29" xfId="0" applyFont="1" applyBorder="1" applyAlignment="1"/>
    <xf numFmtId="0" fontId="8" fillId="0" borderId="29" xfId="0" applyFont="1" applyBorder="1"/>
    <xf numFmtId="0" fontId="8" fillId="0" borderId="38" xfId="0" applyFont="1" applyBorder="1" applyAlignment="1">
      <alignment wrapText="1"/>
    </xf>
    <xf numFmtId="0" fontId="8" fillId="0" borderId="39" xfId="0" applyFont="1" applyBorder="1" applyAlignment="1">
      <alignment wrapText="1"/>
    </xf>
    <xf numFmtId="0" fontId="8" fillId="0" borderId="40" xfId="0" applyFont="1" applyBorder="1" applyAlignment="1">
      <alignment wrapText="1"/>
    </xf>
    <xf numFmtId="0" fontId="1" fillId="0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6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Y36"/>
  <sheetViews>
    <sheetView tabSelected="1" zoomScale="125" zoomScaleNormal="125" zoomScalePageLayoutView="125" workbookViewId="0">
      <selection activeCell="K2" sqref="K2:M2"/>
    </sheetView>
  </sheetViews>
  <sheetFormatPr baseColWidth="10" defaultRowHeight="13"/>
  <cols>
    <col min="1" max="1" width="1.42578125" customWidth="1"/>
    <col min="2" max="2" width="3.5703125" customWidth="1"/>
    <col min="3" max="3" width="13.140625" customWidth="1"/>
    <col min="4" max="4" width="16.42578125" customWidth="1"/>
    <col min="5" max="5" width="15.85546875" customWidth="1"/>
    <col min="6" max="7" width="7.140625" customWidth="1"/>
    <col min="8" max="8" width="1.42578125" customWidth="1"/>
    <col min="9" max="9" width="3.7109375" customWidth="1"/>
    <col min="10" max="13" width="7.5703125" customWidth="1"/>
    <col min="14" max="14" width="1.42578125" customWidth="1"/>
    <col min="15" max="15" width="4.140625" customWidth="1"/>
    <col min="16" max="16" width="5.28515625" customWidth="1"/>
    <col min="17" max="17" width="9.7109375" customWidth="1"/>
    <col min="18" max="27" width="3.5703125" customWidth="1"/>
  </cols>
  <sheetData>
    <row r="1" spans="1:25" ht="9" customHeight="1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2"/>
    </row>
    <row r="2" spans="1:25" ht="17" thickBot="1">
      <c r="A2" s="6"/>
      <c r="B2" s="61" t="s">
        <v>18</v>
      </c>
      <c r="C2" s="62"/>
      <c r="D2" s="62"/>
      <c r="E2" s="62"/>
      <c r="F2" s="62"/>
      <c r="G2" s="62"/>
      <c r="H2" s="2"/>
      <c r="I2" s="59" t="s">
        <v>27</v>
      </c>
      <c r="J2" s="60"/>
      <c r="K2" s="84" t="s">
        <v>19</v>
      </c>
      <c r="L2" s="85"/>
      <c r="M2" s="86"/>
      <c r="N2" s="7"/>
      <c r="O2" s="2"/>
      <c r="Q2" s="1" t="s">
        <v>21</v>
      </c>
    </row>
    <row r="3" spans="1:25" ht="8" customHeight="1">
      <c r="A3" s="6"/>
      <c r="B3" s="62"/>
      <c r="C3" s="62"/>
      <c r="D3" s="62"/>
      <c r="E3" s="62"/>
      <c r="F3" s="62"/>
      <c r="G3" s="62"/>
      <c r="H3" s="2"/>
      <c r="I3" s="2"/>
      <c r="J3" s="2"/>
      <c r="K3" s="2"/>
      <c r="L3" s="2"/>
      <c r="M3" s="2"/>
      <c r="N3" s="7"/>
      <c r="O3" s="2"/>
    </row>
    <row r="4" spans="1:25" ht="14" thickBot="1">
      <c r="A4" s="6"/>
      <c r="B4" s="63" t="s">
        <v>57</v>
      </c>
      <c r="C4" s="63" t="s">
        <v>58</v>
      </c>
      <c r="D4" s="64" t="s">
        <v>59</v>
      </c>
      <c r="E4" s="64"/>
      <c r="F4" s="63" t="s">
        <v>15</v>
      </c>
      <c r="G4" s="63" t="s">
        <v>60</v>
      </c>
      <c r="H4" s="58"/>
      <c r="I4" s="58"/>
      <c r="J4" s="2"/>
      <c r="K4" s="2"/>
      <c r="L4" s="2"/>
      <c r="M4" s="2"/>
      <c r="N4" s="7"/>
      <c r="O4" s="2"/>
      <c r="Q4" s="47" t="s">
        <v>22</v>
      </c>
      <c r="R4" s="47" t="s">
        <v>23</v>
      </c>
      <c r="S4" s="47"/>
      <c r="T4" s="47"/>
      <c r="U4" s="47"/>
      <c r="V4" s="47"/>
      <c r="W4" s="47"/>
      <c r="X4" s="47"/>
      <c r="Y4" s="47"/>
    </row>
    <row r="5" spans="1:25" ht="14" thickBot="1">
      <c r="A5" s="6"/>
      <c r="B5" s="65"/>
      <c r="C5" s="65"/>
      <c r="D5" s="65" t="s">
        <v>48</v>
      </c>
      <c r="E5" s="65" t="s">
        <v>49</v>
      </c>
      <c r="F5" s="66" t="s">
        <v>50</v>
      </c>
      <c r="G5" s="65" t="s">
        <v>51</v>
      </c>
      <c r="H5" s="2"/>
      <c r="I5" s="81" t="s">
        <v>17</v>
      </c>
      <c r="J5" s="82"/>
      <c r="K5" s="82"/>
      <c r="L5" s="82"/>
      <c r="M5" s="83"/>
      <c r="N5" s="7"/>
      <c r="O5" s="2"/>
      <c r="Q5" s="47"/>
      <c r="R5" s="47">
        <v>1</v>
      </c>
      <c r="S5" s="47">
        <v>2</v>
      </c>
      <c r="T5" s="47">
        <v>3</v>
      </c>
      <c r="U5" s="47">
        <v>4</v>
      </c>
      <c r="V5" s="47">
        <v>5</v>
      </c>
      <c r="W5" s="47">
        <v>6</v>
      </c>
      <c r="X5" s="47">
        <v>7</v>
      </c>
      <c r="Y5" s="47">
        <v>8</v>
      </c>
    </row>
    <row r="6" spans="1:25" ht="5" customHeight="1" thickBot="1">
      <c r="A6" s="6"/>
      <c r="B6" s="62"/>
      <c r="C6" s="62"/>
      <c r="D6" s="62"/>
      <c r="E6" s="62"/>
      <c r="F6" s="62"/>
      <c r="G6" s="62"/>
      <c r="H6" s="2"/>
      <c r="I6" s="2"/>
      <c r="J6" s="2"/>
      <c r="K6" s="2"/>
      <c r="L6" s="2"/>
      <c r="M6" s="2"/>
      <c r="N6" s="7"/>
      <c r="O6" s="2"/>
      <c r="Q6" s="47"/>
      <c r="R6" s="47"/>
      <c r="S6" s="47"/>
      <c r="T6" s="47"/>
      <c r="U6" s="47"/>
      <c r="V6" s="47"/>
      <c r="W6" s="47"/>
      <c r="X6" s="47"/>
      <c r="Y6" s="47"/>
    </row>
    <row r="7" spans="1:25" s="12" customFormat="1" ht="37" customHeight="1">
      <c r="A7" s="13"/>
      <c r="B7" s="67">
        <v>1</v>
      </c>
      <c r="C7" s="67" t="s">
        <v>52</v>
      </c>
      <c r="D7" s="73" t="s">
        <v>61</v>
      </c>
      <c r="E7" s="74" t="s">
        <v>41</v>
      </c>
      <c r="F7" s="67">
        <v>1</v>
      </c>
      <c r="G7" s="67">
        <v>2</v>
      </c>
      <c r="H7" s="14"/>
      <c r="I7" s="27">
        <v>4</v>
      </c>
      <c r="J7" s="43" t="str">
        <f>Q7</f>
        <v xml:space="preserve">       </v>
      </c>
      <c r="K7" s="44" t="str">
        <f>Q11</f>
        <v xml:space="preserve">       </v>
      </c>
      <c r="L7" s="31" t="str">
        <f>Q15</f>
        <v xml:space="preserve">       </v>
      </c>
      <c r="M7" s="32" t="str">
        <f>Q19</f>
        <v xml:space="preserve">       </v>
      </c>
      <c r="N7" s="15"/>
      <c r="O7" s="14"/>
      <c r="P7" s="57" t="str">
        <f>CONCATENATE(F7,G7)</f>
        <v>12</v>
      </c>
      <c r="Q7" s="48" t="str">
        <f>CONCATENATE(R7," ",S7," ",T7," ",U7," ",V7," ",W7," ",X7," ",Y7)</f>
        <v xml:space="preserve">       </v>
      </c>
      <c r="R7" s="49" t="str">
        <f>IF($P$7="41",1,"")</f>
        <v/>
      </c>
      <c r="S7" s="49" t="str">
        <f>IF($P$8="41",2,"")</f>
        <v/>
      </c>
      <c r="T7" s="49" t="str">
        <f>IF($P$9="41",3,"")</f>
        <v/>
      </c>
      <c r="U7" s="49" t="str">
        <f>IF($P$10="41",4,"")</f>
        <v/>
      </c>
      <c r="V7" s="49" t="str">
        <f>IF($P$11="41",5,"")</f>
        <v/>
      </c>
      <c r="W7" s="49" t="str">
        <f>IF($P$12="41",6,"")</f>
        <v/>
      </c>
      <c r="X7" s="49" t="str">
        <f>IF($P$13="41",7,"")</f>
        <v/>
      </c>
      <c r="Y7" s="50" t="str">
        <f>IF($P$14="41",8,"")</f>
        <v/>
      </c>
    </row>
    <row r="8" spans="1:25" s="12" customFormat="1" ht="37" customHeight="1">
      <c r="A8" s="13"/>
      <c r="B8" s="67">
        <v>2</v>
      </c>
      <c r="C8" s="67" t="s">
        <v>53</v>
      </c>
      <c r="D8" s="74" t="s">
        <v>42</v>
      </c>
      <c r="E8" s="74" t="s">
        <v>43</v>
      </c>
      <c r="F8" s="67">
        <v>2</v>
      </c>
      <c r="G8" s="67">
        <v>2</v>
      </c>
      <c r="H8" s="14"/>
      <c r="I8" s="28">
        <v>3</v>
      </c>
      <c r="J8" s="45" t="str">
        <f>Q8</f>
        <v xml:space="preserve">       </v>
      </c>
      <c r="K8" s="46" t="str">
        <f t="shared" ref="K8:K10" si="0">Q12</f>
        <v xml:space="preserve">       </v>
      </c>
      <c r="L8" s="33" t="str">
        <f t="shared" ref="L8:L10" si="1">Q16</f>
        <v xml:space="preserve">  3     </v>
      </c>
      <c r="M8" s="34" t="str">
        <f t="shared" ref="M8:M10" si="2">Q20</f>
        <v xml:space="preserve">      7 </v>
      </c>
      <c r="N8" s="15"/>
      <c r="O8" s="14"/>
      <c r="P8" s="57" t="str">
        <f>CONCATENATE(F8,G8)</f>
        <v>22</v>
      </c>
      <c r="Q8" s="51" t="str">
        <f>CONCATENATE(R8," ",S8," ",T8," ",U8," ",V8," ",W8," ",X8," ",Y8)</f>
        <v xml:space="preserve">       </v>
      </c>
      <c r="R8" s="52" t="str">
        <f>IF($P$7="31",1,"")</f>
        <v/>
      </c>
      <c r="S8" s="52" t="str">
        <f>IF($P$8="31",2,"")</f>
        <v/>
      </c>
      <c r="T8" s="52" t="str">
        <f>IF($P$9="31",3,"")</f>
        <v/>
      </c>
      <c r="U8" s="52" t="str">
        <f>IF($P$10="31",4,"")</f>
        <v/>
      </c>
      <c r="V8" s="52" t="str">
        <f>IF($P$11="31",5,"")</f>
        <v/>
      </c>
      <c r="W8" s="52" t="str">
        <f>IF($P$12="31",6,"")</f>
        <v/>
      </c>
      <c r="X8" s="52" t="str">
        <f>IF($P$13="31",7,"")</f>
        <v/>
      </c>
      <c r="Y8" s="53" t="str">
        <f>IF($P$14="31",8,"")</f>
        <v/>
      </c>
    </row>
    <row r="9" spans="1:25" s="12" customFormat="1" ht="37" customHeight="1">
      <c r="A9" s="13"/>
      <c r="B9" s="67">
        <v>3</v>
      </c>
      <c r="C9" s="67" t="s">
        <v>54</v>
      </c>
      <c r="D9" s="74" t="s">
        <v>62</v>
      </c>
      <c r="E9" s="73" t="s">
        <v>44</v>
      </c>
      <c r="F9" s="67">
        <v>3</v>
      </c>
      <c r="G9" s="67">
        <v>3</v>
      </c>
      <c r="H9" s="14"/>
      <c r="I9" s="28">
        <v>2</v>
      </c>
      <c r="J9" s="35" t="str">
        <f t="shared" ref="J9:J10" si="3">Q9</f>
        <v xml:space="preserve">       </v>
      </c>
      <c r="K9" s="36" t="str">
        <f t="shared" si="0"/>
        <v xml:space="preserve"> 2  4    </v>
      </c>
      <c r="L9" s="39" t="str">
        <f t="shared" si="1"/>
        <v xml:space="preserve">       </v>
      </c>
      <c r="M9" s="40" t="str">
        <f t="shared" si="2"/>
        <v xml:space="preserve">       </v>
      </c>
      <c r="N9" s="15"/>
      <c r="O9" s="14"/>
      <c r="P9" s="57" t="str">
        <f>CONCATENATE(F9,G9)</f>
        <v>33</v>
      </c>
      <c r="Q9" s="51" t="str">
        <f>CONCATENATE(R9," ",S9," ",T9," ",U9," ",V9," ",W9," ",X9," ",Y9)</f>
        <v xml:space="preserve">       </v>
      </c>
      <c r="R9" s="52" t="str">
        <f>IF($P$7="21",1,"")</f>
        <v/>
      </c>
      <c r="S9" s="52" t="str">
        <f>IF($P$8="21",2,"")</f>
        <v/>
      </c>
      <c r="T9" s="52" t="str">
        <f>IF($P$9="21",3,"")</f>
        <v/>
      </c>
      <c r="U9" s="52" t="str">
        <f>IF($P$10="21",4,"")</f>
        <v/>
      </c>
      <c r="V9" s="52" t="str">
        <f>IF($P$11="21",5,"")</f>
        <v/>
      </c>
      <c r="W9" s="52" t="str">
        <f>IF($P$12="21",6,"")</f>
        <v/>
      </c>
      <c r="X9" s="52" t="str">
        <f>IF($P$13="21",7,"")</f>
        <v/>
      </c>
      <c r="Y9" s="53" t="str">
        <f>IF($P$14="21",8,"")</f>
        <v/>
      </c>
    </row>
    <row r="10" spans="1:25" s="12" customFormat="1" ht="37" customHeight="1" thickBot="1">
      <c r="A10" s="13"/>
      <c r="B10" s="67">
        <v>4</v>
      </c>
      <c r="C10" s="67" t="s">
        <v>55</v>
      </c>
      <c r="D10" s="74" t="s">
        <v>45</v>
      </c>
      <c r="E10" s="73" t="s">
        <v>46</v>
      </c>
      <c r="F10" s="67">
        <v>2</v>
      </c>
      <c r="G10" s="67">
        <v>2</v>
      </c>
      <c r="H10" s="14"/>
      <c r="I10" s="28">
        <v>1</v>
      </c>
      <c r="J10" s="37" t="str">
        <f t="shared" si="3"/>
        <v xml:space="preserve">    5   </v>
      </c>
      <c r="K10" s="38" t="str">
        <f t="shared" si="0"/>
        <v xml:space="preserve">1     6  </v>
      </c>
      <c r="L10" s="41" t="str">
        <f t="shared" si="1"/>
        <v xml:space="preserve">       </v>
      </c>
      <c r="M10" s="42" t="str">
        <f t="shared" si="2"/>
        <v xml:space="preserve">       </v>
      </c>
      <c r="N10" s="15"/>
      <c r="O10" s="14"/>
      <c r="P10" s="57" t="str">
        <f>CONCATENATE(F10,G10)</f>
        <v>22</v>
      </c>
      <c r="Q10" s="54" t="str">
        <f>CONCATENATE(R10," ",S10," ",T10," ",U10," ",V10," ",W10," ",X10," ",Y10)</f>
        <v xml:space="preserve">    5   </v>
      </c>
      <c r="R10" s="55" t="str">
        <f>IF($P$7="11",1,"")</f>
        <v/>
      </c>
      <c r="S10" s="55" t="str">
        <f>IF($P$8="11",2,"")</f>
        <v/>
      </c>
      <c r="T10" s="55" t="str">
        <f>IF($P$9="11",3,"")</f>
        <v/>
      </c>
      <c r="U10" s="55" t="str">
        <f>IF($P$10="11",4,"")</f>
        <v/>
      </c>
      <c r="V10" s="55">
        <f>IF($P$11="11",5,"")</f>
        <v>5</v>
      </c>
      <c r="W10" s="55" t="str">
        <f>IF($P$12="11",6,"")</f>
        <v/>
      </c>
      <c r="X10" s="55" t="str">
        <f>IF($P$13="11",7,"")</f>
        <v/>
      </c>
      <c r="Y10" s="56" t="str">
        <f>IF($P$14="11",8,"")</f>
        <v/>
      </c>
    </row>
    <row r="11" spans="1:25" s="12" customFormat="1" ht="37" customHeight="1" thickBot="1">
      <c r="A11" s="13"/>
      <c r="B11" s="67">
        <v>5</v>
      </c>
      <c r="C11" s="67" t="s">
        <v>56</v>
      </c>
      <c r="D11" s="74" t="s">
        <v>20</v>
      </c>
      <c r="E11" s="73" t="s">
        <v>47</v>
      </c>
      <c r="F11" s="67">
        <v>1</v>
      </c>
      <c r="G11" s="67">
        <v>1</v>
      </c>
      <c r="H11" s="14"/>
      <c r="I11" s="26"/>
      <c r="J11" s="29">
        <v>1</v>
      </c>
      <c r="K11" s="29">
        <v>2</v>
      </c>
      <c r="L11" s="29">
        <v>3</v>
      </c>
      <c r="M11" s="30">
        <v>4</v>
      </c>
      <c r="N11" s="15"/>
      <c r="O11" s="14"/>
      <c r="P11" s="57" t="str">
        <f>CONCATENATE(F11,G11)</f>
        <v>11</v>
      </c>
      <c r="Q11" s="48" t="str">
        <f>CONCATENATE(R11," ",S11," ",T11," ",U11," ",V11," ",W11," ",X11," ",Y11)</f>
        <v xml:space="preserve">       </v>
      </c>
      <c r="R11" s="49" t="str">
        <f>IF($P$7="42",1,"")</f>
        <v/>
      </c>
      <c r="S11" s="49" t="str">
        <f>IF($P$8="42",2,"")</f>
        <v/>
      </c>
      <c r="T11" s="49" t="str">
        <f>IF($P$9="42",3,"")</f>
        <v/>
      </c>
      <c r="U11" s="49" t="str">
        <f>IF($P$10="42",4,"")</f>
        <v/>
      </c>
      <c r="V11" s="49" t="str">
        <f>IF($P$11="42",5,"")</f>
        <v/>
      </c>
      <c r="W11" s="49" t="str">
        <f>IF($P$12="42",6,"")</f>
        <v/>
      </c>
      <c r="X11" s="49" t="str">
        <f>IF($P$13="42",7,"")</f>
        <v/>
      </c>
      <c r="Y11" s="50" t="str">
        <f>IF($P$14="42",8,"")</f>
        <v/>
      </c>
    </row>
    <row r="12" spans="1:25" ht="32" customHeight="1">
      <c r="A12" s="13"/>
      <c r="B12" s="67">
        <v>6</v>
      </c>
      <c r="C12" s="67" t="s">
        <v>35</v>
      </c>
      <c r="D12" s="73" t="s">
        <v>36</v>
      </c>
      <c r="E12" s="73" t="s">
        <v>37</v>
      </c>
      <c r="F12" s="67">
        <v>1</v>
      </c>
      <c r="G12" s="67">
        <v>2</v>
      </c>
      <c r="H12" s="2"/>
      <c r="I12" s="2"/>
      <c r="J12" s="2"/>
      <c r="K12" s="75" t="s">
        <v>16</v>
      </c>
      <c r="L12" s="75"/>
      <c r="M12" s="2"/>
      <c r="N12" s="7"/>
      <c r="O12" s="2"/>
      <c r="P12" s="57" t="str">
        <f>CONCATENATE(F12,G12)</f>
        <v>12</v>
      </c>
      <c r="Q12" s="51" t="str">
        <f>CONCATENATE(R12," ",S12," ",T12," ",U12," ",V12," ",W12," ",X12," ",Y12)</f>
        <v xml:space="preserve">       </v>
      </c>
      <c r="R12" s="52" t="str">
        <f>IF($P$7="32",1,"")</f>
        <v/>
      </c>
      <c r="S12" s="52" t="str">
        <f>IF($P$8="32",2,"")</f>
        <v/>
      </c>
      <c r="T12" s="52" t="str">
        <f>IF($P$9="32",3,"")</f>
        <v/>
      </c>
      <c r="U12" s="52" t="str">
        <f>IF($P$10="32",4,"")</f>
        <v/>
      </c>
      <c r="V12" s="52" t="str">
        <f>IF($P$11="32",5,"")</f>
        <v/>
      </c>
      <c r="W12" s="52" t="str">
        <f>IF($P$12="32",6,"")</f>
        <v/>
      </c>
      <c r="X12" s="52" t="str">
        <f>IF($P$13="32",7,"")</f>
        <v/>
      </c>
      <c r="Y12" s="53" t="str">
        <f>IF($P$14="32",8,"")</f>
        <v/>
      </c>
    </row>
    <row r="13" spans="1:25" ht="33" customHeight="1">
      <c r="A13" s="13"/>
      <c r="B13" s="67">
        <v>7</v>
      </c>
      <c r="C13" s="67" t="s">
        <v>1</v>
      </c>
      <c r="D13" s="74" t="s">
        <v>2</v>
      </c>
      <c r="E13" s="73" t="s">
        <v>3</v>
      </c>
      <c r="F13" s="67">
        <v>3</v>
      </c>
      <c r="G13" s="67">
        <v>4</v>
      </c>
      <c r="H13" s="2"/>
      <c r="I13" s="2"/>
      <c r="J13" s="11" t="s">
        <v>0</v>
      </c>
      <c r="K13" s="2"/>
      <c r="L13" s="2"/>
      <c r="M13" s="2"/>
      <c r="N13" s="7"/>
      <c r="O13" s="2"/>
      <c r="P13" s="57" t="str">
        <f>CONCATENATE(F13,G13)</f>
        <v>34</v>
      </c>
      <c r="Q13" s="51" t="str">
        <f>CONCATENATE(R13," ",S13," ",T13," ",U13," ",V13," ",W13," ",X13," ",Y13)</f>
        <v xml:space="preserve"> 2  4    </v>
      </c>
      <c r="R13" s="52" t="str">
        <f>IF($P$7="22",1,"")</f>
        <v/>
      </c>
      <c r="S13" s="52">
        <f>IF($P$8="22",2,"")</f>
        <v>2</v>
      </c>
      <c r="T13" s="52" t="str">
        <f>IF($P$9="22",3,"")</f>
        <v/>
      </c>
      <c r="U13" s="52">
        <f>IF($P$10="22",4,"")</f>
        <v>4</v>
      </c>
      <c r="V13" s="52" t="str">
        <f>IF($P$11="22",5,"")</f>
        <v/>
      </c>
      <c r="W13" s="52" t="str">
        <f>IF($P$12="22",6,"")</f>
        <v/>
      </c>
      <c r="X13" s="52" t="str">
        <f>IF($P$13="22",7,"")</f>
        <v/>
      </c>
      <c r="Y13" s="53" t="str">
        <f>IF($P$14="22",8,"")</f>
        <v/>
      </c>
    </row>
    <row r="14" spans="1:25" ht="33" customHeight="1">
      <c r="A14" s="13"/>
      <c r="B14" s="67"/>
      <c r="C14" s="67"/>
      <c r="D14" s="69"/>
      <c r="E14" s="68"/>
      <c r="F14" s="25"/>
      <c r="G14" s="25"/>
      <c r="H14" s="2"/>
      <c r="I14" s="2"/>
      <c r="J14" s="2"/>
      <c r="K14" s="2"/>
      <c r="L14" s="2"/>
      <c r="M14" s="2"/>
      <c r="N14" s="7"/>
      <c r="O14" s="2"/>
      <c r="P14" s="57" t="str">
        <f>CONCATENATE(F14,G14)</f>
        <v/>
      </c>
      <c r="Q14" s="54" t="str">
        <f>CONCATENATE(R14," ",S14," ",T14," ",U14," ",V14," ",W14," ",X14," ",Y14)</f>
        <v xml:space="preserve">1     6  </v>
      </c>
      <c r="R14" s="55">
        <f>IF($P$7="12",1,"")</f>
        <v>1</v>
      </c>
      <c r="S14" s="55" t="str">
        <f>IF($P$8="12",2,"")</f>
        <v/>
      </c>
      <c r="T14" s="55" t="str">
        <f>IF($P$9="12",3,"")</f>
        <v/>
      </c>
      <c r="U14" s="55" t="str">
        <f>IF($P$10="12",4,"")</f>
        <v/>
      </c>
      <c r="V14" s="55" t="str">
        <f>IF($P$11="12",5,"")</f>
        <v/>
      </c>
      <c r="W14" s="55">
        <f>IF($P$12="12",6,"")</f>
        <v>6</v>
      </c>
      <c r="X14" s="55" t="str">
        <f>IF($P$13="12",7,"")</f>
        <v/>
      </c>
      <c r="Y14" s="56" t="str">
        <f>IF($P$14="12",8,"")</f>
        <v/>
      </c>
    </row>
    <row r="15" spans="1:25" ht="9" customHeight="1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7"/>
      <c r="O15" s="2"/>
      <c r="Q15" s="48" t="str">
        <f>CONCATENATE(R15," ",S15," ",T15," ",U15," ",V15," ",W15," ",X15," ",Y15)</f>
        <v xml:space="preserve">       </v>
      </c>
      <c r="R15" s="49" t="str">
        <f>IF($P$7="43",1,"")</f>
        <v/>
      </c>
      <c r="S15" s="49" t="str">
        <f>IF($P$8="43",2,"")</f>
        <v/>
      </c>
      <c r="T15" s="49" t="str">
        <f>IF($P$9="43",3,"")</f>
        <v/>
      </c>
      <c r="U15" s="49" t="str">
        <f>IF($P$10="43",4,"")</f>
        <v/>
      </c>
      <c r="V15" s="49" t="str">
        <f>IF($P$11="43",5,"")</f>
        <v/>
      </c>
      <c r="W15" s="49" t="str">
        <f>IF($P$12="43",6,"")</f>
        <v/>
      </c>
      <c r="X15" s="49" t="str">
        <f>IF($P$13="43",7,"")</f>
        <v/>
      </c>
      <c r="Y15" s="50" t="str">
        <f>IF($P$14="43",8,"")</f>
        <v/>
      </c>
    </row>
    <row r="16" spans="1:25">
      <c r="A16" s="6"/>
      <c r="B16" s="63" t="s">
        <v>28</v>
      </c>
      <c r="C16" s="70" t="s">
        <v>24</v>
      </c>
      <c r="D16" s="62"/>
      <c r="E16" s="70" t="s">
        <v>25</v>
      </c>
      <c r="F16" s="62"/>
      <c r="G16" s="62"/>
      <c r="H16" s="62"/>
      <c r="I16" s="62"/>
      <c r="J16" s="70" t="s">
        <v>26</v>
      </c>
      <c r="K16" s="62"/>
      <c r="L16" s="62"/>
      <c r="M16" s="62"/>
      <c r="N16" s="7"/>
      <c r="O16" s="2"/>
      <c r="Q16" s="51" t="str">
        <f>CONCATENATE(R16," ",S16," ",T16," ",U16," ",V16," ",W16," ",X16," ",Y16)</f>
        <v xml:space="preserve">  3     </v>
      </c>
      <c r="R16" s="52" t="str">
        <f>IF($P$7="33",1,"")</f>
        <v/>
      </c>
      <c r="S16" s="52" t="str">
        <f>IF($P$8="33",2,"")</f>
        <v/>
      </c>
      <c r="T16" s="52">
        <f>IF($P$9="33",3,"")</f>
        <v>3</v>
      </c>
      <c r="U16" s="52" t="str">
        <f>IF($P$10="33",4,"")</f>
        <v/>
      </c>
      <c r="V16" s="52" t="str">
        <f>IF($P$11="33",5,"")</f>
        <v/>
      </c>
      <c r="W16" s="52" t="str">
        <f>IF($P$12="33",6,"")</f>
        <v/>
      </c>
      <c r="X16" s="52" t="str">
        <f>IF($P$13="33",7,"")</f>
        <v/>
      </c>
      <c r="Y16" s="53" t="str">
        <f>IF($P$14="33",8,"")</f>
        <v/>
      </c>
    </row>
    <row r="17" spans="1:25" ht="22" customHeight="1">
      <c r="A17" s="6"/>
      <c r="B17" s="67">
        <v>1</v>
      </c>
      <c r="C17" s="76" t="s">
        <v>4</v>
      </c>
      <c r="D17" s="76"/>
      <c r="E17" s="76" t="s">
        <v>14</v>
      </c>
      <c r="F17" s="76"/>
      <c r="G17" s="76"/>
      <c r="H17" s="76"/>
      <c r="I17" s="76"/>
      <c r="J17" s="76" t="s">
        <v>5</v>
      </c>
      <c r="K17" s="76"/>
      <c r="L17" s="76"/>
      <c r="M17" s="77" t="s">
        <v>6</v>
      </c>
      <c r="N17" s="7"/>
      <c r="O17" s="2"/>
      <c r="Q17" s="51" t="str">
        <f>CONCATENATE(R17," ",S17," ",T17," ",U17," ",V17," ",W17," ",X17," ",Y17)</f>
        <v xml:space="preserve">       </v>
      </c>
      <c r="R17" s="52" t="str">
        <f>IF($P$7="23",1,"")</f>
        <v/>
      </c>
      <c r="S17" s="52" t="str">
        <f>IF($P$8="23",2,"")</f>
        <v/>
      </c>
      <c r="T17" s="52" t="str">
        <f>IF($P$9="23",3,"")</f>
        <v/>
      </c>
      <c r="U17" s="52" t="str">
        <f>IF($P$10="23",4,"")</f>
        <v/>
      </c>
      <c r="V17" s="52" t="str">
        <f>IF($P$11="23",5,"")</f>
        <v/>
      </c>
      <c r="W17" s="52" t="str">
        <f>IF($P$12="23",6,"")</f>
        <v/>
      </c>
      <c r="X17" s="52" t="str">
        <f>IF($P$13="23",7,"")</f>
        <v/>
      </c>
      <c r="Y17" s="53" t="str">
        <f>IF($P$14="23",8,"")</f>
        <v/>
      </c>
    </row>
    <row r="18" spans="1:25" ht="22" customHeight="1">
      <c r="A18" s="6"/>
      <c r="B18" s="67">
        <v>2</v>
      </c>
      <c r="C18" s="76" t="s">
        <v>7</v>
      </c>
      <c r="D18" s="76"/>
      <c r="E18" s="78" t="s">
        <v>8</v>
      </c>
      <c r="F18" s="79"/>
      <c r="G18" s="79"/>
      <c r="H18" s="79"/>
      <c r="I18" s="80"/>
      <c r="J18" s="76" t="s">
        <v>9</v>
      </c>
      <c r="K18" s="76"/>
      <c r="L18" s="76"/>
      <c r="M18" s="77" t="s">
        <v>10</v>
      </c>
      <c r="N18" s="7"/>
      <c r="O18" s="2"/>
      <c r="Q18" s="54" t="str">
        <f>CONCATENATE(R18," ",S18," ",T18," ",U18," ",V18," ",W18," ",X18," ",Y18)</f>
        <v xml:space="preserve">       </v>
      </c>
      <c r="R18" s="55" t="str">
        <f>IF($P$7="13",1,"")</f>
        <v/>
      </c>
      <c r="S18" s="55" t="str">
        <f>IF($P$8="13",2,"")</f>
        <v/>
      </c>
      <c r="T18" s="55" t="str">
        <f>IF($P$9="13",3,"")</f>
        <v/>
      </c>
      <c r="U18" s="55" t="str">
        <f>IF($P$10="13",4,"")</f>
        <v/>
      </c>
      <c r="V18" s="55" t="str">
        <f>IF($P$11="13",5,"")</f>
        <v/>
      </c>
      <c r="W18" s="55" t="str">
        <f>IF($P$12="13",6,"")</f>
        <v/>
      </c>
      <c r="X18" s="55" t="str">
        <f>IF($P$13="13",7,"")</f>
        <v/>
      </c>
      <c r="Y18" s="56" t="str">
        <f>IF($P$14="13",8,"")</f>
        <v/>
      </c>
    </row>
    <row r="19" spans="1:25" ht="22" customHeight="1">
      <c r="A19" s="6"/>
      <c r="B19" s="67">
        <v>3</v>
      </c>
      <c r="C19" s="76" t="s">
        <v>11</v>
      </c>
      <c r="D19" s="76"/>
      <c r="E19" s="76" t="s">
        <v>12</v>
      </c>
      <c r="F19" s="76"/>
      <c r="G19" s="76"/>
      <c r="H19" s="76"/>
      <c r="I19" s="76"/>
      <c r="J19" s="76" t="s">
        <v>13</v>
      </c>
      <c r="K19" s="76"/>
      <c r="L19" s="76"/>
      <c r="M19" s="77" t="s">
        <v>10</v>
      </c>
      <c r="N19" s="7"/>
      <c r="O19" s="2"/>
      <c r="Q19" s="48" t="str">
        <f>CONCATENATE(R19," ",S19," ",T19," ",U19," ",V19," ",W19," ",X19," ",Y19)</f>
        <v xml:space="preserve">       </v>
      </c>
      <c r="R19" s="49" t="str">
        <f>IF($P$7="44",1,"")</f>
        <v/>
      </c>
      <c r="S19" s="49" t="str">
        <f>IF($P$8="44",2,"")</f>
        <v/>
      </c>
      <c r="T19" s="49" t="str">
        <f>IF($P$9="44",3,"")</f>
        <v/>
      </c>
      <c r="U19" s="49" t="str">
        <f>IF($P$10="44",4,"")</f>
        <v/>
      </c>
      <c r="V19" s="49" t="str">
        <f>IF($P$11="44",5,"")</f>
        <v/>
      </c>
      <c r="W19" s="49" t="str">
        <f>IF($P$12="44",6,"")</f>
        <v/>
      </c>
      <c r="X19" s="49" t="str">
        <f>IF($P$13="44",7,"")</f>
        <v/>
      </c>
      <c r="Y19" s="50" t="str">
        <f>IF($P$14="44",8,"")</f>
        <v/>
      </c>
    </row>
    <row r="20" spans="1:25" ht="6" customHeight="1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7"/>
      <c r="O20" s="2"/>
      <c r="Q20" s="51" t="str">
        <f>CONCATENATE(R20," ",S20," ",T20," ",U20," ",V20," ",W20," ",X20," ",Y20)</f>
        <v xml:space="preserve">      7 </v>
      </c>
      <c r="R20" s="52" t="str">
        <f>IF($P$7="34",1,"")</f>
        <v/>
      </c>
      <c r="S20" s="52" t="str">
        <f>IF($P$8="34",2,"")</f>
        <v/>
      </c>
      <c r="T20" s="52" t="str">
        <f>IF($P$9="34",3,"")</f>
        <v/>
      </c>
      <c r="U20" s="52" t="str">
        <f>IF($P$10="34",4,"")</f>
        <v/>
      </c>
      <c r="V20" s="52" t="str">
        <f>IF($P$11="34",5,"")</f>
        <v/>
      </c>
      <c r="W20" s="52" t="str">
        <f>IF($P$12="34",6,"")</f>
        <v/>
      </c>
      <c r="X20" s="52">
        <f>IF($P$13="34",7,"")</f>
        <v>7</v>
      </c>
      <c r="Y20" s="53" t="str">
        <f>IF($P$14="34",8,"")</f>
        <v/>
      </c>
    </row>
    <row r="21" spans="1:25" ht="6" customHeight="1" thickBo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2"/>
      <c r="Q21" s="51" t="str">
        <f>CONCATENATE(R21," ",S21," ",T21," ",U21," ",V21," ",W21," ",X21," ",Y21)</f>
        <v xml:space="preserve">       </v>
      </c>
      <c r="R21" s="52" t="str">
        <f>IF($P$7="24",1,"")</f>
        <v/>
      </c>
      <c r="S21" s="52" t="str">
        <f>IF($P$8="24",2,"")</f>
        <v/>
      </c>
      <c r="T21" s="52" t="str">
        <f>IF($P$9="24",3,"")</f>
        <v/>
      </c>
      <c r="U21" s="52" t="str">
        <f>IF($P$10="24",4,"")</f>
        <v/>
      </c>
      <c r="V21" s="52" t="str">
        <f>IF($P$11="24",5,"")</f>
        <v/>
      </c>
      <c r="W21" s="52" t="str">
        <f>IF($P$12="24",6,"")</f>
        <v/>
      </c>
      <c r="X21" s="52" t="str">
        <f>IF($P$13="24",7,"")</f>
        <v/>
      </c>
      <c r="Y21" s="53" t="str">
        <f>IF($P$14="24",8,"")</f>
        <v/>
      </c>
    </row>
    <row r="22" spans="1:25">
      <c r="Q22" s="54" t="str">
        <f>CONCATENATE(R22," ",S22," ",T22," ",U22," ",V22," ",W22," ",X22," ",Y22)</f>
        <v xml:space="preserve">       </v>
      </c>
      <c r="R22" s="55" t="str">
        <f>IF($P$7="14",1,"")</f>
        <v/>
      </c>
      <c r="S22" s="55" t="str">
        <f>IF($P$8="14",2,"")</f>
        <v/>
      </c>
      <c r="T22" s="55" t="str">
        <f>IF($P$9="14",3,"")</f>
        <v/>
      </c>
      <c r="U22" s="55" t="str">
        <f>IF($P$10="14",4,"")</f>
        <v/>
      </c>
      <c r="V22" s="55" t="str">
        <f>IF($P$11="14",5,"")</f>
        <v/>
      </c>
      <c r="W22" s="55" t="str">
        <f>IF($P$12="14",6,"")</f>
        <v/>
      </c>
      <c r="X22" s="55" t="str">
        <f>IF($P$13="14",7,"")</f>
        <v/>
      </c>
      <c r="Y22" s="56" t="str">
        <f>IF($P$14="14",8,"")</f>
        <v/>
      </c>
    </row>
    <row r="25" spans="1:25">
      <c r="C25" s="17" t="s">
        <v>63</v>
      </c>
      <c r="D25" s="18"/>
      <c r="E25" s="18"/>
      <c r="F25" s="18"/>
      <c r="G25" s="18"/>
      <c r="H25" s="18"/>
      <c r="I25" s="18"/>
      <c r="J25" s="18"/>
      <c r="K25" s="19"/>
    </row>
    <row r="26" spans="1:25">
      <c r="C26" s="20"/>
      <c r="D26" s="16"/>
      <c r="E26" s="16"/>
      <c r="F26" s="16"/>
      <c r="G26" s="16"/>
      <c r="H26" s="16"/>
      <c r="I26" s="16"/>
      <c r="J26" s="16"/>
      <c r="K26" s="21"/>
    </row>
    <row r="27" spans="1:25">
      <c r="C27" s="20" t="s">
        <v>29</v>
      </c>
      <c r="D27" s="16"/>
      <c r="E27" s="16"/>
      <c r="F27" s="16"/>
      <c r="G27" s="16"/>
      <c r="H27" s="16"/>
      <c r="I27" s="16"/>
      <c r="J27" s="16"/>
      <c r="K27" s="21"/>
    </row>
    <row r="28" spans="1:25">
      <c r="C28" s="20" t="s">
        <v>30</v>
      </c>
      <c r="D28" s="16"/>
      <c r="E28" s="16"/>
      <c r="F28" s="16"/>
      <c r="G28" s="16"/>
      <c r="H28" s="16"/>
      <c r="I28" s="16"/>
      <c r="J28" s="16"/>
      <c r="K28" s="21"/>
    </row>
    <row r="29" spans="1:25">
      <c r="C29" s="20" t="s">
        <v>31</v>
      </c>
      <c r="D29" s="16"/>
      <c r="E29" s="16"/>
      <c r="F29" s="16"/>
      <c r="G29" s="16"/>
      <c r="H29" s="16"/>
      <c r="I29" s="16"/>
      <c r="J29" s="16"/>
      <c r="K29" s="21"/>
    </row>
    <row r="30" spans="1:25">
      <c r="C30" s="20" t="s">
        <v>32</v>
      </c>
      <c r="D30" s="16"/>
      <c r="E30" s="16"/>
      <c r="F30" s="16"/>
      <c r="G30" s="16"/>
      <c r="H30" s="16"/>
      <c r="I30" s="16"/>
      <c r="J30" s="16"/>
      <c r="K30" s="21"/>
    </row>
    <row r="31" spans="1:25">
      <c r="C31" s="20" t="s">
        <v>33</v>
      </c>
      <c r="D31" s="16"/>
      <c r="E31" s="16"/>
      <c r="F31" s="16"/>
      <c r="G31" s="16"/>
      <c r="H31" s="16"/>
      <c r="I31" s="16"/>
      <c r="J31" s="16"/>
      <c r="K31" s="21"/>
    </row>
    <row r="32" spans="1:25">
      <c r="C32" s="22" t="s">
        <v>34</v>
      </c>
      <c r="D32" s="23"/>
      <c r="E32" s="23"/>
      <c r="F32" s="23"/>
      <c r="G32" s="23"/>
      <c r="H32" s="23"/>
      <c r="I32" s="23"/>
      <c r="J32" s="23"/>
      <c r="K32" s="24"/>
    </row>
    <row r="34" spans="3:3">
      <c r="C34" s="72" t="s">
        <v>40</v>
      </c>
    </row>
    <row r="35" spans="3:3">
      <c r="C35" s="71" t="s">
        <v>38</v>
      </c>
    </row>
    <row r="36" spans="3:3">
      <c r="C36" t="s">
        <v>39</v>
      </c>
    </row>
  </sheetData>
  <sheetCalcPr fullCalcOnLoad="1"/>
  <mergeCells count="19">
    <mergeCell ref="K12:L12"/>
    <mergeCell ref="I5:M5"/>
    <mergeCell ref="J17:L17"/>
    <mergeCell ref="J18:L18"/>
    <mergeCell ref="J19:L19"/>
    <mergeCell ref="K2:M2"/>
    <mergeCell ref="B2:G2"/>
    <mergeCell ref="B3:G3"/>
    <mergeCell ref="B6:G6"/>
    <mergeCell ref="J16:M16"/>
    <mergeCell ref="E16:I16"/>
    <mergeCell ref="C16:D16"/>
    <mergeCell ref="D4:E4"/>
    <mergeCell ref="C17:D17"/>
    <mergeCell ref="C18:D18"/>
    <mergeCell ref="C19:D19"/>
    <mergeCell ref="E17:I17"/>
    <mergeCell ref="E18:I18"/>
    <mergeCell ref="E19:I19"/>
  </mergeCells>
  <phoneticPr fontId="2" type="noConversion"/>
  <pageMargins left="0.75196850393700787" right="0.75196850393700787" top="1" bottom="1" header="0.5" footer="0.5"/>
  <pageSetup paperSize="0" orientation="landscape" horizontalDpi="4294967292" verticalDpi="4294967292"/>
  <headerFooter>
    <oddHeader>&amp;LStakeholderanalyse&amp;CBaltic PM&amp;Rc.b. Thomas Sadewasser</oddHeader>
    <oddFooter>&amp;F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Stakeholderanalyse</vt:lpstr>
    </vt:vector>
  </TitlesOfParts>
  <Manager/>
  <Company>Baltic PM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Stakeholderanalyse</dc:title>
  <dc:subject/>
  <dc:creator>Thomas Sadewasser</dc:creator>
  <cp:keywords/>
  <dc:description>copyright by Thomas Sadewasser_x000d_Weitergabe nur mit Zustimmung und Namensnennung</dc:description>
  <cp:lastModifiedBy>TS</cp:lastModifiedBy>
  <cp:lastPrinted>2013-08-04T11:19:41Z</cp:lastPrinted>
  <dcterms:created xsi:type="dcterms:W3CDTF">2013-08-04T07:10:29Z</dcterms:created>
  <dcterms:modified xsi:type="dcterms:W3CDTF">2013-08-04T11:20:01Z</dcterms:modified>
  <cp:category/>
</cp:coreProperties>
</file>